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charts/style2.xml" ContentType="application/vnd.ms-office.chartstyle+xml"/>
  <Override PartName="/xl/charts/colors2.xml" ContentType="application/vnd.ms-office.chartcolorstyle+xml"/>
  <Override PartName="/xl/charts/chart17.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tn1\OneDrive - CDC\LAARC\IQLS\"/>
    </mc:Choice>
  </mc:AlternateContent>
  <xr:revisionPtr revIDLastSave="1310" documentId="8_{CDC4F78B-C966-4282-93BD-22172F515780}" xr6:coauthVersionLast="45" xr6:coauthVersionMax="45" xr10:uidLastSave="{5B2B75A3-56CF-41A4-93B4-A0307818BDF5}"/>
  <bookViews>
    <workbookView xWindow="-108" yWindow="-108" windowWidth="20376" windowHeight="12216" tabRatio="918" activeTab="1" xr2:uid="{00000000-000D-0000-FFFF-FFFF00000000}"/>
  </bookViews>
  <sheets>
    <sheet name="Cover" sheetId="14" r:id="rId1"/>
    <sheet name="Language" sheetId="2" r:id="rId2"/>
    <sheet name="Registration" sheetId="45" r:id="rId3"/>
    <sheet name="Introduction" sheetId="13" r:id="rId4"/>
    <sheet name="Assessor Guide" sheetId="37" r:id="rId5"/>
    <sheet name="General 0" sheetId="3" r:id="rId6"/>
    <sheet name="Facility 1" sheetId="23" r:id="rId7"/>
    <sheet name="LIS 2" sheetId="32" r:id="rId8"/>
    <sheet name="Data Mgmt 3" sheetId="30" r:id="rId9"/>
    <sheet name="QA 4" sheetId="20" r:id="rId10"/>
    <sheet name="Media QC 5" sheetId="33" r:id="rId11"/>
    <sheet name="ID QC 6" sheetId="18" r:id="rId12"/>
    <sheet name="AST QC 7" sheetId="34" r:id="rId13"/>
    <sheet name="Specimen 8" sheetId="36" r:id="rId14"/>
    <sheet name="Processing 9" sheetId="5" r:id="rId15"/>
    <sheet name="Identification 10" sheetId="8" r:id="rId16"/>
    <sheet name="Basic AST 11" sheetId="24" r:id="rId17"/>
    <sheet name="AST Expert rules 12" sheetId="25" r:id="rId18"/>
    <sheet name="AST Policy 13" sheetId="35" r:id="rId19"/>
    <sheet name="Safety" sheetId="9" r:id="rId20"/>
    <sheet name="Summary" sheetId="1" r:id="rId21"/>
    <sheet name="Flags" sheetId="27" r:id="rId22"/>
    <sheet name="Conclusions" sheetId="43" r:id="rId23"/>
    <sheet name="Photos" sheetId="44" r:id="rId24"/>
    <sheet name="Export" sheetId="38" r:id="rId25"/>
  </sheets>
  <definedNames>
    <definedName name="_Toc1732508" localSheetId="1">Language!#REF!</definedName>
    <definedName name="_Toc1732514" localSheetId="1">Language!#REF!</definedName>
    <definedName name="_Toc1732529" localSheetId="17">'AST Expert rules 12'!#REF!</definedName>
    <definedName name="_Toc1732529" localSheetId="18">'AST Policy 13'!#REF!</definedName>
    <definedName name="_Toc1732529" localSheetId="16">'Basic AST 11'!$B$3</definedName>
    <definedName name="_Toc1732530" localSheetId="17">'AST Expert rules 12'!#REF!</definedName>
    <definedName name="_Toc1732530" localSheetId="18">'AST Policy 13'!#REF!</definedName>
    <definedName name="_Toc1732530" localSheetId="16">'Basic AST 11'!$B$15</definedName>
    <definedName name="_Toc1732531" localSheetId="17">'AST Expert rules 12'!#REF!</definedName>
    <definedName name="_Toc1732531" localSheetId="18">'AST Policy 13'!#REF!</definedName>
    <definedName name="_Toc1732531" localSheetId="16">'Basic AST 11'!$B$26</definedName>
    <definedName name="_Toc1732532" localSheetId="17">'AST Expert rules 12'!#REF!</definedName>
    <definedName name="_Toc1732532" localSheetId="18">'AST Policy 13'!#REF!</definedName>
    <definedName name="_Toc1732532" localSheetId="12">#REF!</definedName>
    <definedName name="_Toc1732532" localSheetId="16">'Basic AST 11'!$B$47</definedName>
    <definedName name="_Toc1732532" localSheetId="8">#REF!</definedName>
    <definedName name="_Toc1732532" localSheetId="7">#REF!</definedName>
    <definedName name="_Toc1732532" localSheetId="10">#REF!</definedName>
    <definedName name="_Toc1732532" localSheetId="13">#REF!</definedName>
    <definedName name="_Toc1732532">#REF!</definedName>
    <definedName name="_Toc1732533" localSheetId="17">'AST Expert rules 12'!#REF!</definedName>
    <definedName name="_Toc1732533" localSheetId="18">'AST Policy 13'!#REF!</definedName>
    <definedName name="_Toc1732533" localSheetId="12">#REF!</definedName>
    <definedName name="_Toc1732533" localSheetId="16">'Basic AST 11'!$B$64</definedName>
    <definedName name="_Toc1732533" localSheetId="8">#REF!</definedName>
    <definedName name="_Toc1732533" localSheetId="7">#REF!</definedName>
    <definedName name="_Toc1732533" localSheetId="10">#REF!</definedName>
    <definedName name="_Toc1732533" localSheetId="13">#REF!</definedName>
    <definedName name="_Toc1732533">#REF!</definedName>
    <definedName name="_Toc1732534" localSheetId="17">'AST Expert rules 12'!#REF!</definedName>
    <definedName name="_Toc1732534" localSheetId="18">'AST Policy 13'!#REF!</definedName>
    <definedName name="_Toc1732534" localSheetId="16">'General 0'!$B$85</definedName>
    <definedName name="_Toc1732536" localSheetId="17">'AST Expert rules 12'!#REF!</definedName>
    <definedName name="_Toc1732536" localSheetId="18">'AST Policy 13'!$B$18</definedName>
    <definedName name="_Toc1732536" localSheetId="12">#REF!</definedName>
    <definedName name="_Toc1732536" localSheetId="16">'Basic AST 11'!#REF!</definedName>
    <definedName name="_Toc1732536" localSheetId="8">#REF!</definedName>
    <definedName name="_Toc1732536" localSheetId="7">#REF!</definedName>
    <definedName name="_Toc1732536" localSheetId="10">#REF!</definedName>
    <definedName name="_Toc1732536" localSheetId="13">#REF!</definedName>
    <definedName name="_Toc1732536">#REF!</definedName>
    <definedName name="_Toc1732539" localSheetId="17">'AST Expert rules 12'!$B$41</definedName>
    <definedName name="_Toc1732539" localSheetId="18">'AST Policy 13'!#REF!</definedName>
    <definedName name="_Toc1732539" localSheetId="12">#REF!</definedName>
    <definedName name="_Toc1732539" localSheetId="16">'Basic AST 11'!#REF!</definedName>
    <definedName name="_Toc1732539" localSheetId="8">#REF!</definedName>
    <definedName name="_Toc1732539" localSheetId="7">#REF!</definedName>
    <definedName name="_Toc1732539" localSheetId="10">#REF!</definedName>
    <definedName name="_Toc1732539" localSheetId="13">#REF!</definedName>
    <definedName name="_Toc1732539">#REF!</definedName>
    <definedName name="_Toc1732542" localSheetId="17">'AST Expert rules 12'!$B$98</definedName>
    <definedName name="_Toc1732542" localSheetId="18">'AST Policy 13'!#REF!</definedName>
    <definedName name="_Toc1732542" localSheetId="16">'Basic AST 11'!#REF!</definedName>
    <definedName name="_Toc1732544" localSheetId="17">'AST Expert rules 12'!$B$142</definedName>
    <definedName name="_Toc1732544" localSheetId="18">'AST Policy 13'!#REF!</definedName>
    <definedName name="_Toc1732544" localSheetId="16">'Basic AST 11'!#REF!</definedName>
    <definedName name="_Toc2177259" localSheetId="4">'Assessor Guide'!$A$36</definedName>
    <definedName name="_Toc486852724" localSheetId="12">'AST QC 7'!#REF!</definedName>
    <definedName name="_Toc486852724" localSheetId="11">'ID QC 6'!#REF!</definedName>
    <definedName name="_Toc486852724" localSheetId="10">'Media QC 5'!#REF!</definedName>
    <definedName name="_Toc486852724" localSheetId="9">'QA 4'!#REF!</definedName>
    <definedName name="_Toc486852725" localSheetId="12">'AST QC 7'!$B$33</definedName>
    <definedName name="_Toc486852725" localSheetId="11">'ID QC 6'!#REF!</definedName>
    <definedName name="_Toc486852725" localSheetId="10">'Media QC 5'!#REF!</definedName>
    <definedName name="_Toc486852725" localSheetId="9">'QA 4'!#REF!</definedName>
    <definedName name="_Toc486852730" localSheetId="14">'Processing 9'!$B$1</definedName>
    <definedName name="_Toc486852730" localSheetId="13">'Specimen 8'!$B$1</definedName>
    <definedName name="_Toc486852735" localSheetId="15">'Identification 10'!$B$1</definedName>
    <definedName name="_Toc486852736" localSheetId="15">'Identification 10'!$B$220</definedName>
    <definedName name="_Toc486852741" localSheetId="15">'Identification 10'!#REF!</definedName>
    <definedName name="_Toc486852742" localSheetId="15">'Identification 10'!$B$87</definedName>
    <definedName name="langue">Language!$A$3</definedName>
    <definedName name="LIS" localSheetId="18">#REF!</definedName>
    <definedName name="LIS" localSheetId="12">#REF!</definedName>
    <definedName name="LIS" localSheetId="7">#REF!</definedName>
    <definedName name="LIS" localSheetId="10">#REF!</definedName>
    <definedName name="LIS" localSheetId="13">#REF!</definedName>
    <definedName name="LIS">#REF!</definedName>
    <definedName name="_xlnm.Print_Area" localSheetId="4">'Assessor Guide'!$A$1:$P$74</definedName>
    <definedName name="_xlnm.Print_Area" localSheetId="17">'AST Expert rules 12'!$A$1:$H$161</definedName>
    <definedName name="_xlnm.Print_Area" localSheetId="18">'AST Policy 13'!$A$1:$H$49</definedName>
    <definedName name="_xlnm.Print_Area" localSheetId="12">'AST QC 7'!$A$1:$H$77</definedName>
    <definedName name="_xlnm.Print_Area" localSheetId="16">'Basic AST 11'!$A$1:$H$95</definedName>
    <definedName name="_xlnm.Print_Area" localSheetId="8">'Data Mgmt 3'!$A$1:$H$113</definedName>
    <definedName name="_xlnm.Print_Area" localSheetId="6">'Facility 1'!$A$1:$H$173</definedName>
    <definedName name="_xlnm.Print_Area" localSheetId="21">Flags!$A$1:$H$159</definedName>
    <definedName name="_xlnm.Print_Area" localSheetId="5">'General 0'!$A$1:$G$165</definedName>
    <definedName name="_xlnm.Print_Area" localSheetId="15">'Identification 10'!$A$1:$H$244</definedName>
    <definedName name="_xlnm.Print_Area" localSheetId="3">Introduction!$A$1:$F$162</definedName>
    <definedName name="_xlnm.Print_Area" localSheetId="1">Language!$A:$C</definedName>
    <definedName name="_xlnm.Print_Area" localSheetId="7">'LIS 2'!$A$1:$H$80</definedName>
    <definedName name="_xlnm.Print_Area" localSheetId="10">'Media QC 5'!$A$1:$H$87</definedName>
    <definedName name="_xlnm.Print_Area" localSheetId="14">'Processing 9'!$A$1:$H$56</definedName>
    <definedName name="_xlnm.Print_Area" localSheetId="9">'QA 4'!$A$1:$H$67</definedName>
    <definedName name="_xlnm.Print_Area" localSheetId="19">Safety!$A$1:$H$45</definedName>
    <definedName name="_xlnm.Print_Area" localSheetId="13">'Specimen 8'!$A$1:$H$75</definedName>
    <definedName name="_xlnm.Print_Area" localSheetId="20">Summary!$A$1:$H$249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1" l="1"/>
  <c r="C11" i="8" l="1"/>
  <c r="C33" i="34" l="1"/>
  <c r="A353" i="2" l="1"/>
  <c r="B57" i="3" s="1"/>
  <c r="C122" i="25"/>
  <c r="C33" i="8"/>
  <c r="A34" i="2"/>
  <c r="A32" i="2"/>
  <c r="A33" i="2"/>
  <c r="A30" i="2"/>
  <c r="A12" i="45" s="1"/>
  <c r="A31" i="2"/>
  <c r="A14" i="45" s="1"/>
  <c r="A643" i="2" l="1"/>
  <c r="H6" i="32" s="1"/>
  <c r="A16" i="2" l="1"/>
  <c r="A2" i="45" s="1"/>
  <c r="A17" i="2"/>
  <c r="A4" i="45" s="1"/>
  <c r="A18" i="2"/>
  <c r="A5" i="45" s="1"/>
  <c r="A19" i="2"/>
  <c r="A7" i="45" s="1"/>
  <c r="A20" i="2"/>
  <c r="A9" i="45" s="1"/>
  <c r="C220" i="8" l="1"/>
  <c r="B6" i="38" l="1"/>
  <c r="A7" i="2" l="1"/>
  <c r="D3" i="2" s="1"/>
  <c r="A8" i="2"/>
  <c r="E3" i="2" s="1"/>
  <c r="F5" i="23"/>
  <c r="G5" i="23" s="1"/>
  <c r="F6" i="23"/>
  <c r="G6" i="23" s="1"/>
  <c r="F7" i="23"/>
  <c r="G7" i="23" s="1"/>
  <c r="A470" i="2"/>
  <c r="B10" i="23" s="1"/>
  <c r="A1674" i="2"/>
  <c r="A13" i="2"/>
  <c r="E14" i="14" s="1"/>
  <c r="A465" i="2"/>
  <c r="B5" i="23" s="1"/>
  <c r="A522" i="2"/>
  <c r="B63" i="23" s="1"/>
  <c r="A989" i="2"/>
  <c r="B113" i="18" s="1"/>
  <c r="A990" i="2"/>
  <c r="B134" i="18" s="1"/>
  <c r="A991" i="2"/>
  <c r="A988" i="2"/>
  <c r="B132" i="18" s="1"/>
  <c r="A1009" i="2"/>
  <c r="B111" i="18" s="1"/>
  <c r="A1442" i="2"/>
  <c r="B12" i="25" s="1"/>
  <c r="A1435" i="2"/>
  <c r="B5" i="25" s="1"/>
  <c r="I88" i="24"/>
  <c r="A1276" i="2"/>
  <c r="B199" i="8" s="1"/>
  <c r="A1277" i="2"/>
  <c r="B147" i="8" s="1"/>
  <c r="A1278" i="2"/>
  <c r="B120" i="8" s="1"/>
  <c r="A1279" i="2"/>
  <c r="B142" i="8" s="1"/>
  <c r="A1280" i="2"/>
  <c r="B203" i="8" s="1"/>
  <c r="A1275" i="2"/>
  <c r="A1247" i="2"/>
  <c r="B162" i="8" s="1"/>
  <c r="A1248" i="2"/>
  <c r="B98" i="8" s="1"/>
  <c r="A1249" i="2"/>
  <c r="B69" i="8" s="1"/>
  <c r="A1250" i="2"/>
  <c r="B158" i="8" s="1"/>
  <c r="A1251" i="2"/>
  <c r="B166" i="8" s="1"/>
  <c r="A1246" i="2"/>
  <c r="F199" i="8"/>
  <c r="G199" i="8" s="1"/>
  <c r="C197" i="8"/>
  <c r="F192" i="8"/>
  <c r="G192" i="8" s="1"/>
  <c r="C190" i="8"/>
  <c r="F185" i="8"/>
  <c r="G185" i="8" s="1"/>
  <c r="C183" i="8"/>
  <c r="F178" i="8"/>
  <c r="G178" i="8"/>
  <c r="C176" i="8"/>
  <c r="E205" i="1" s="1"/>
  <c r="DU6" i="38" s="1"/>
  <c r="F171" i="8"/>
  <c r="G171" i="8" s="1"/>
  <c r="C169" i="8" s="1"/>
  <c r="F162" i="8"/>
  <c r="G162" i="8"/>
  <c r="C160" i="8"/>
  <c r="E210" i="1" s="1"/>
  <c r="DZ6" i="38" s="1"/>
  <c r="F155" i="8"/>
  <c r="G155" i="8" s="1"/>
  <c r="C153" i="8"/>
  <c r="F145" i="8"/>
  <c r="F139" i="8"/>
  <c r="G139" i="8"/>
  <c r="C137" i="8"/>
  <c r="E202" i="1" s="1"/>
  <c r="DR6" i="38" s="1"/>
  <c r="F132" i="8"/>
  <c r="G132" i="8" s="1"/>
  <c r="C130" i="8"/>
  <c r="E201" i="1" s="1"/>
  <c r="DQ6" i="38" s="1"/>
  <c r="F125" i="8"/>
  <c r="G125" i="8" s="1"/>
  <c r="C123" i="8"/>
  <c r="F118" i="8"/>
  <c r="G118" i="8" s="1"/>
  <c r="C116" i="8"/>
  <c r="E199" i="1" s="1"/>
  <c r="DO6" i="38" s="1"/>
  <c r="F111" i="8"/>
  <c r="G111" i="8" s="1"/>
  <c r="C109" i="8"/>
  <c r="E198" i="1" s="1"/>
  <c r="DN6" i="38" s="1"/>
  <c r="F104" i="8"/>
  <c r="G104" i="8" s="1"/>
  <c r="C102" i="8"/>
  <c r="E197" i="1" s="1"/>
  <c r="DM6" i="38" s="1"/>
  <c r="F97" i="8"/>
  <c r="G97" i="8" s="1"/>
  <c r="F90" i="8"/>
  <c r="G90" i="8" s="1"/>
  <c r="C88" i="8"/>
  <c r="C58" i="8"/>
  <c r="E191" i="1" s="1"/>
  <c r="DG6" i="38" s="1"/>
  <c r="C65" i="8"/>
  <c r="E193" i="1" s="1"/>
  <c r="DI6" i="38" s="1"/>
  <c r="C80" i="8"/>
  <c r="F51" i="8"/>
  <c r="G51" i="8" s="1"/>
  <c r="C49" i="8"/>
  <c r="E190" i="1" s="1"/>
  <c r="DF6" i="38" s="1"/>
  <c r="F44" i="8"/>
  <c r="G44" i="8" s="1"/>
  <c r="C42" i="8"/>
  <c r="E189" i="1" s="1"/>
  <c r="DE6" i="38" s="1"/>
  <c r="F35" i="8"/>
  <c r="G35" i="8" s="1"/>
  <c r="A1186" i="2"/>
  <c r="B4" i="5" s="1"/>
  <c r="F13" i="5"/>
  <c r="SJ6" i="38" s="1"/>
  <c r="F25" i="5"/>
  <c r="F42" i="5"/>
  <c r="C24" i="5"/>
  <c r="C134" i="1" s="1"/>
  <c r="IN6" i="38" s="1"/>
  <c r="F5" i="5"/>
  <c r="G5" i="5" s="1"/>
  <c r="F6" i="5"/>
  <c r="G6" i="5" s="1"/>
  <c r="F4" i="5"/>
  <c r="F67" i="34"/>
  <c r="G67" i="34" s="1"/>
  <c r="C64" i="34" s="1"/>
  <c r="C122" i="1" s="1"/>
  <c r="IF6" i="38" s="1"/>
  <c r="F53" i="34"/>
  <c r="G53" i="34" s="1"/>
  <c r="C50" i="34"/>
  <c r="C121" i="1" s="1"/>
  <c r="IE6" i="38" s="1"/>
  <c r="F36" i="34"/>
  <c r="G36" i="34"/>
  <c r="C120" i="1"/>
  <c r="ID6" i="38" s="1"/>
  <c r="C146" i="18"/>
  <c r="D210" i="1" s="1"/>
  <c r="DA6" i="38" s="1"/>
  <c r="F25" i="18"/>
  <c r="G25" i="18" s="1"/>
  <c r="F30" i="18"/>
  <c r="G30" i="18" s="1"/>
  <c r="F35" i="18"/>
  <c r="G35" i="18" s="1"/>
  <c r="F40" i="18"/>
  <c r="G40" i="18" s="1"/>
  <c r="F45" i="18"/>
  <c r="G45" i="18" s="1"/>
  <c r="F50" i="18"/>
  <c r="G50" i="18" s="1"/>
  <c r="F55" i="18"/>
  <c r="G55" i="18" s="1"/>
  <c r="F60" i="18"/>
  <c r="G60" i="18" s="1"/>
  <c r="F65" i="18"/>
  <c r="G65" i="18" s="1"/>
  <c r="F70" i="18"/>
  <c r="G70" i="18" s="1"/>
  <c r="F75" i="18"/>
  <c r="G75" i="18" s="1"/>
  <c r="F80" i="18"/>
  <c r="G80" i="18" s="1"/>
  <c r="F85" i="18"/>
  <c r="G85" i="18" s="1"/>
  <c r="F90" i="18"/>
  <c r="G90" i="18" s="1"/>
  <c r="F95" i="18"/>
  <c r="G95" i="18" s="1"/>
  <c r="F100" i="18"/>
  <c r="G100" i="18" s="1"/>
  <c r="F105" i="18"/>
  <c r="G105" i="18" s="1"/>
  <c r="F110" i="18"/>
  <c r="G110" i="18" s="1"/>
  <c r="F115" i="18"/>
  <c r="G115" i="18" s="1"/>
  <c r="F120" i="18"/>
  <c r="G120" i="18" s="1"/>
  <c r="F125" i="18"/>
  <c r="G125" i="18" s="1"/>
  <c r="F130" i="18"/>
  <c r="G130" i="18" s="1"/>
  <c r="F135" i="18"/>
  <c r="G135" i="18" s="1"/>
  <c r="F24" i="18"/>
  <c r="G24" i="18" s="1"/>
  <c r="F29" i="18"/>
  <c r="G29" i="18" s="1"/>
  <c r="F34" i="18"/>
  <c r="G34" i="18" s="1"/>
  <c r="F39" i="18"/>
  <c r="G39" i="18" s="1"/>
  <c r="F44" i="18"/>
  <c r="G44" i="18" s="1"/>
  <c r="F49" i="18"/>
  <c r="G49" i="18" s="1"/>
  <c r="F54" i="18"/>
  <c r="G54" i="18" s="1"/>
  <c r="F59" i="18"/>
  <c r="G59" i="18" s="1"/>
  <c r="F64" i="18"/>
  <c r="G64" i="18"/>
  <c r="F69" i="18"/>
  <c r="G69" i="18" s="1"/>
  <c r="F74" i="18"/>
  <c r="G74" i="18"/>
  <c r="F79" i="18"/>
  <c r="G79" i="18" s="1"/>
  <c r="F84" i="18"/>
  <c r="G84" i="18" s="1"/>
  <c r="F89" i="18"/>
  <c r="G89" i="18" s="1"/>
  <c r="F94" i="18"/>
  <c r="G94" i="18"/>
  <c r="F99" i="18"/>
  <c r="G99" i="18" s="1"/>
  <c r="F104" i="18"/>
  <c r="G104" i="18"/>
  <c r="F109" i="18"/>
  <c r="G109" i="18" s="1"/>
  <c r="F114" i="18"/>
  <c r="G114" i="18"/>
  <c r="F119" i="18"/>
  <c r="G119" i="18" s="1"/>
  <c r="F124" i="18"/>
  <c r="G124" i="18" s="1"/>
  <c r="F129" i="18"/>
  <c r="G129" i="18" s="1"/>
  <c r="F134" i="18"/>
  <c r="G134" i="18"/>
  <c r="F23" i="18"/>
  <c r="G23" i="18" s="1"/>
  <c r="F28" i="18"/>
  <c r="G28" i="18" s="1"/>
  <c r="F33" i="18"/>
  <c r="G33" i="18" s="1"/>
  <c r="F38" i="18"/>
  <c r="G38" i="18" s="1"/>
  <c r="F43" i="18"/>
  <c r="G43" i="18" s="1"/>
  <c r="F48" i="18"/>
  <c r="G48" i="18" s="1"/>
  <c r="F53" i="18"/>
  <c r="G53" i="18" s="1"/>
  <c r="F58" i="18"/>
  <c r="G58" i="18" s="1"/>
  <c r="F63" i="18"/>
  <c r="G63" i="18" s="1"/>
  <c r="F68" i="18"/>
  <c r="G68" i="18" s="1"/>
  <c r="F73" i="18"/>
  <c r="G73" i="18" s="1"/>
  <c r="F78" i="18"/>
  <c r="G78" i="18" s="1"/>
  <c r="F83" i="18"/>
  <c r="G83" i="18" s="1"/>
  <c r="F88" i="18"/>
  <c r="G88" i="18" s="1"/>
  <c r="F93" i="18"/>
  <c r="G93" i="18" s="1"/>
  <c r="F98" i="18"/>
  <c r="G98" i="18" s="1"/>
  <c r="F103" i="18"/>
  <c r="G103" i="18" s="1"/>
  <c r="F108" i="18"/>
  <c r="G108" i="18" s="1"/>
  <c r="F113" i="18"/>
  <c r="G113" i="18" s="1"/>
  <c r="F118" i="18"/>
  <c r="G118" i="18" s="1"/>
  <c r="F123" i="18"/>
  <c r="G123" i="18" s="1"/>
  <c r="F128" i="18"/>
  <c r="G128" i="18" s="1"/>
  <c r="F133" i="18"/>
  <c r="G133" i="18" s="1"/>
  <c r="F22" i="18"/>
  <c r="G22" i="18" s="1"/>
  <c r="F27" i="18"/>
  <c r="G27" i="18" s="1"/>
  <c r="F32" i="18"/>
  <c r="G32" i="18" s="1"/>
  <c r="F37" i="18"/>
  <c r="G37" i="18" s="1"/>
  <c r="C36" i="18" s="1"/>
  <c r="D189" i="1" s="1"/>
  <c r="CF6" i="38" s="1"/>
  <c r="F42" i="18"/>
  <c r="G42" i="18" s="1"/>
  <c r="F47" i="18"/>
  <c r="G47" i="18"/>
  <c r="F52" i="18"/>
  <c r="G52" i="18" s="1"/>
  <c r="F57" i="18"/>
  <c r="G57" i="18"/>
  <c r="F62" i="18"/>
  <c r="G62" i="18" s="1"/>
  <c r="F67" i="18"/>
  <c r="G67" i="18"/>
  <c r="F72" i="18"/>
  <c r="G72" i="18" s="1"/>
  <c r="F77" i="18"/>
  <c r="G77" i="18" s="1"/>
  <c r="F82" i="18"/>
  <c r="G82" i="18" s="1"/>
  <c r="F87" i="18"/>
  <c r="G87" i="18"/>
  <c r="F92" i="18"/>
  <c r="G92" i="18" s="1"/>
  <c r="F97" i="18"/>
  <c r="G97" i="18"/>
  <c r="F102" i="18"/>
  <c r="G102" i="18" s="1"/>
  <c r="F107" i="18"/>
  <c r="G107" i="18"/>
  <c r="F112" i="18"/>
  <c r="G112" i="18" s="1"/>
  <c r="F117" i="18"/>
  <c r="G117" i="18" s="1"/>
  <c r="F122" i="18"/>
  <c r="G122" i="18" s="1"/>
  <c r="F127" i="18"/>
  <c r="G127" i="18"/>
  <c r="F132" i="18"/>
  <c r="G132" i="18" s="1"/>
  <c r="F6" i="32"/>
  <c r="G6" i="32" s="1"/>
  <c r="F9" i="32"/>
  <c r="G9" i="32" s="1"/>
  <c r="F10" i="32"/>
  <c r="G10" i="32" s="1"/>
  <c r="F11" i="32"/>
  <c r="G11" i="32" s="1"/>
  <c r="F89" i="23"/>
  <c r="G89" i="23"/>
  <c r="F83" i="23"/>
  <c r="G83" i="23" s="1"/>
  <c r="F86" i="23"/>
  <c r="G86" i="23"/>
  <c r="F92" i="23"/>
  <c r="G92" i="23" s="1"/>
  <c r="F95" i="23"/>
  <c r="G95" i="23" s="1"/>
  <c r="F98" i="23"/>
  <c r="G98" i="23" s="1"/>
  <c r="F101" i="23"/>
  <c r="G101" i="23" s="1"/>
  <c r="F105" i="23"/>
  <c r="G105" i="23" s="1"/>
  <c r="F90" i="23"/>
  <c r="G90" i="23" s="1"/>
  <c r="F84" i="23"/>
  <c r="G84" i="23" s="1"/>
  <c r="F87" i="23"/>
  <c r="G87" i="23" s="1"/>
  <c r="F93" i="23"/>
  <c r="G93" i="23" s="1"/>
  <c r="F96" i="23"/>
  <c r="G96" i="23" s="1"/>
  <c r="F99" i="23"/>
  <c r="G99" i="23"/>
  <c r="F102" i="23"/>
  <c r="G102" i="23" s="1"/>
  <c r="F106" i="23"/>
  <c r="G106" i="23" s="1"/>
  <c r="F17" i="23"/>
  <c r="G17" i="23" s="1"/>
  <c r="A477" i="2"/>
  <c r="B17" i="23" s="1"/>
  <c r="B135" i="27" s="1"/>
  <c r="I17" i="23"/>
  <c r="A317" i="2"/>
  <c r="E18" i="3" s="1"/>
  <c r="A315" i="2"/>
  <c r="E17" i="3" s="1"/>
  <c r="A313" i="2"/>
  <c r="E16" i="3" s="1"/>
  <c r="A312" i="2"/>
  <c r="B16" i="3" s="1"/>
  <c r="A314" i="2"/>
  <c r="B17" i="3" s="1"/>
  <c r="A316" i="2"/>
  <c r="B18" i="3" s="1"/>
  <c r="A318" i="2"/>
  <c r="B20" i="3" s="1"/>
  <c r="A1149" i="2"/>
  <c r="B41" i="36" s="1"/>
  <c r="F83" i="25"/>
  <c r="G83" i="25" s="1"/>
  <c r="A1449" i="2"/>
  <c r="B19" i="25" s="1"/>
  <c r="A1448" i="2"/>
  <c r="B18" i="25" s="1"/>
  <c r="A1444" i="2"/>
  <c r="A1447" i="2"/>
  <c r="B17" i="25" s="1"/>
  <c r="A1446" i="2"/>
  <c r="B16" i="25" s="1"/>
  <c r="F96" i="30"/>
  <c r="G96" i="30" s="1"/>
  <c r="C90" i="30" s="1"/>
  <c r="C91" i="1" s="1"/>
  <c r="HI6" i="38" s="1"/>
  <c r="F97" i="30"/>
  <c r="G97" i="30" s="1"/>
  <c r="F98" i="30"/>
  <c r="G98" i="30" s="1"/>
  <c r="F99" i="30"/>
  <c r="G99" i="30" s="1"/>
  <c r="F100" i="30"/>
  <c r="G100" i="30" s="1"/>
  <c r="F101" i="30"/>
  <c r="G101" i="30" s="1"/>
  <c r="F103" i="30"/>
  <c r="G103" i="30"/>
  <c r="F104" i="30"/>
  <c r="G104" i="30" s="1"/>
  <c r="F105" i="30"/>
  <c r="G105" i="30"/>
  <c r="F106" i="30"/>
  <c r="G106" i="30" s="1"/>
  <c r="F47" i="30"/>
  <c r="G47" i="30" s="1"/>
  <c r="C43" i="30" s="1"/>
  <c r="C88" i="1" s="1"/>
  <c r="HF6" i="38" s="1"/>
  <c r="F5" i="30"/>
  <c r="G5" i="30" s="1"/>
  <c r="F6" i="30"/>
  <c r="G6" i="30" s="1"/>
  <c r="F7" i="30"/>
  <c r="G7" i="30" s="1"/>
  <c r="F8" i="30"/>
  <c r="G8" i="30" s="1"/>
  <c r="F9" i="30"/>
  <c r="F10" i="30"/>
  <c r="G10" i="30"/>
  <c r="F11" i="30"/>
  <c r="G11" i="30" s="1"/>
  <c r="F15" i="30"/>
  <c r="G15" i="30" s="1"/>
  <c r="F16" i="30"/>
  <c r="G16" i="30" s="1"/>
  <c r="F17" i="30"/>
  <c r="G17" i="30" s="1"/>
  <c r="F18" i="30"/>
  <c r="G18" i="30" s="1"/>
  <c r="F19" i="30"/>
  <c r="G19" i="30"/>
  <c r="F20" i="30"/>
  <c r="G20" i="30" s="1"/>
  <c r="F21" i="30"/>
  <c r="G21" i="30"/>
  <c r="F22" i="30"/>
  <c r="G22" i="30" s="1"/>
  <c r="F23" i="30"/>
  <c r="G23" i="30" s="1"/>
  <c r="F24" i="30"/>
  <c r="G24" i="30" s="1"/>
  <c r="F25" i="30"/>
  <c r="G25" i="30" s="1"/>
  <c r="F29" i="30"/>
  <c r="G29" i="30" s="1"/>
  <c r="F30" i="30"/>
  <c r="G30" i="30"/>
  <c r="F31" i="30"/>
  <c r="G31" i="30" s="1"/>
  <c r="F32" i="30"/>
  <c r="G32" i="30"/>
  <c r="F33" i="30"/>
  <c r="G33" i="30" s="1"/>
  <c r="F34" i="30"/>
  <c r="G34" i="30" s="1"/>
  <c r="F35" i="30"/>
  <c r="G35" i="30" s="1"/>
  <c r="F36" i="30"/>
  <c r="G36" i="30" s="1"/>
  <c r="F37" i="30"/>
  <c r="G37" i="30" s="1"/>
  <c r="F38" i="30"/>
  <c r="G38" i="30"/>
  <c r="F39" i="30"/>
  <c r="G39" i="30" s="1"/>
  <c r="F40" i="30"/>
  <c r="G40" i="30"/>
  <c r="F41" i="30"/>
  <c r="G41" i="30" s="1"/>
  <c r="F48" i="30"/>
  <c r="G48" i="30" s="1"/>
  <c r="F49" i="30"/>
  <c r="G49" i="30" s="1"/>
  <c r="F50" i="30"/>
  <c r="G50" i="30"/>
  <c r="F51" i="30"/>
  <c r="G51" i="30" s="1"/>
  <c r="F52" i="30"/>
  <c r="G52" i="30"/>
  <c r="F53" i="30"/>
  <c r="G53" i="30" s="1"/>
  <c r="F54" i="30"/>
  <c r="G54" i="30"/>
  <c r="F55" i="30"/>
  <c r="G55" i="30" s="1"/>
  <c r="F56" i="30"/>
  <c r="G56" i="30" s="1"/>
  <c r="F57" i="30"/>
  <c r="G57" i="30" s="1"/>
  <c r="F58" i="30"/>
  <c r="G58" i="30" s="1"/>
  <c r="F59" i="30"/>
  <c r="G59" i="30" s="1"/>
  <c r="F60" i="30"/>
  <c r="G60" i="30"/>
  <c r="F66" i="30"/>
  <c r="G66" i="30" s="1"/>
  <c r="F69" i="30"/>
  <c r="G69" i="30"/>
  <c r="C68" i="30" s="1"/>
  <c r="C89" i="1" s="1"/>
  <c r="HG6" i="38" s="1"/>
  <c r="F73" i="30"/>
  <c r="G73" i="30" s="1"/>
  <c r="F78" i="30"/>
  <c r="G78" i="30" s="1"/>
  <c r="F81" i="30"/>
  <c r="G81" i="30" s="1"/>
  <c r="F83" i="30"/>
  <c r="G83" i="30" s="1"/>
  <c r="F85" i="30"/>
  <c r="G85" i="30" s="1"/>
  <c r="F86" i="30"/>
  <c r="G86" i="30"/>
  <c r="F87" i="30"/>
  <c r="G87" i="30" s="1"/>
  <c r="F88" i="30"/>
  <c r="G88" i="30"/>
  <c r="F107" i="30"/>
  <c r="G107" i="30" s="1"/>
  <c r="F109" i="30"/>
  <c r="G109" i="30" s="1"/>
  <c r="F110" i="30"/>
  <c r="G110" i="30" s="1"/>
  <c r="F111" i="30"/>
  <c r="G111" i="30" s="1"/>
  <c r="F112" i="30"/>
  <c r="G112" i="30" s="1"/>
  <c r="F113" i="30"/>
  <c r="G113" i="30"/>
  <c r="A800" i="2"/>
  <c r="B95" i="30" s="1"/>
  <c r="A298" i="2"/>
  <c r="C159" i="27" s="1"/>
  <c r="A297" i="2"/>
  <c r="C130" i="27" s="1"/>
  <c r="A296" i="2"/>
  <c r="C116" i="27" s="1"/>
  <c r="A293" i="2"/>
  <c r="B6" i="27" s="1"/>
  <c r="A291" i="2"/>
  <c r="H133" i="27" s="1"/>
  <c r="A290" i="2"/>
  <c r="G133" i="27" s="1"/>
  <c r="A289" i="2"/>
  <c r="D133" i="27" s="1"/>
  <c r="A288" i="2"/>
  <c r="A292" i="2"/>
  <c r="B4" i="27" s="1"/>
  <c r="A278" i="2"/>
  <c r="A4" i="43" s="1"/>
  <c r="A277" i="2"/>
  <c r="A3" i="43" s="1"/>
  <c r="A282" i="2"/>
  <c r="A4" i="44" s="1"/>
  <c r="A281" i="2"/>
  <c r="A3" i="44" s="1"/>
  <c r="A82" i="2"/>
  <c r="B39" i="1" s="1"/>
  <c r="C39" i="1"/>
  <c r="E43" i="1"/>
  <c r="C138" i="3"/>
  <c r="C139" i="3"/>
  <c r="C134" i="3"/>
  <c r="C135" i="3"/>
  <c r="EK6" i="38"/>
  <c r="EJ6" i="38"/>
  <c r="EI6" i="38"/>
  <c r="EH6" i="38"/>
  <c r="EG6" i="38"/>
  <c r="EF6" i="38"/>
  <c r="EE6" i="38"/>
  <c r="ED6" i="38"/>
  <c r="EC6" i="38"/>
  <c r="EB6" i="38"/>
  <c r="EA6" i="38"/>
  <c r="G215" i="1"/>
  <c r="G214" i="1"/>
  <c r="G213" i="1"/>
  <c r="E224" i="1"/>
  <c r="G220" i="1"/>
  <c r="G221" i="1"/>
  <c r="G222" i="1"/>
  <c r="G223" i="1"/>
  <c r="G224" i="1"/>
  <c r="G219" i="1"/>
  <c r="A442" i="2"/>
  <c r="E220" i="1" s="1"/>
  <c r="A443" i="2"/>
  <c r="E221" i="1" s="1"/>
  <c r="A444" i="2"/>
  <c r="A445" i="2"/>
  <c r="E223" i="1" s="1"/>
  <c r="A441" i="2"/>
  <c r="E219" i="1" s="1"/>
  <c r="A439" i="2"/>
  <c r="E218" i="1" s="1"/>
  <c r="A429" i="2"/>
  <c r="G39" i="1"/>
  <c r="G40" i="1"/>
  <c r="G41" i="1"/>
  <c r="G42" i="1"/>
  <c r="G43" i="1"/>
  <c r="G38" i="1"/>
  <c r="A405" i="2"/>
  <c r="E39" i="1" s="1"/>
  <c r="A406" i="2"/>
  <c r="E40" i="1" s="1"/>
  <c r="A407" i="2"/>
  <c r="E41" i="1" s="1"/>
  <c r="A408" i="2"/>
  <c r="E42" i="1" s="1"/>
  <c r="A404" i="2"/>
  <c r="E38" i="1" s="1"/>
  <c r="A83" i="2"/>
  <c r="B41" i="1" s="1"/>
  <c r="A86" i="2"/>
  <c r="B44" i="1" s="1"/>
  <c r="A85" i="2"/>
  <c r="B43" i="1" s="1"/>
  <c r="A84" i="2"/>
  <c r="B42" i="1" s="1"/>
  <c r="A212" i="2"/>
  <c r="D185" i="1" s="1"/>
  <c r="A213" i="2"/>
  <c r="E185" i="1" s="1"/>
  <c r="A211" i="2"/>
  <c r="C185" i="1" s="1"/>
  <c r="F154" i="8"/>
  <c r="C209" i="1" s="1"/>
  <c r="F161" i="8"/>
  <c r="C210" i="1" s="1"/>
  <c r="F198" i="8"/>
  <c r="C208" i="1" s="1"/>
  <c r="F191" i="8"/>
  <c r="C207" i="1" s="1"/>
  <c r="F184" i="8"/>
  <c r="C206" i="1" s="1"/>
  <c r="F177" i="8"/>
  <c r="C205" i="1" s="1"/>
  <c r="F170" i="8"/>
  <c r="C204" i="1" s="1"/>
  <c r="F138" i="8"/>
  <c r="C202" i="1" s="1"/>
  <c r="F131" i="8"/>
  <c r="C201" i="1" s="1"/>
  <c r="F124" i="8"/>
  <c r="C200" i="1" s="1"/>
  <c r="F117" i="8"/>
  <c r="C199" i="1" s="1"/>
  <c r="F110" i="8"/>
  <c r="C198" i="1" s="1"/>
  <c r="F103" i="8"/>
  <c r="C197" i="1" s="1"/>
  <c r="F96" i="8"/>
  <c r="C196" i="1" s="1"/>
  <c r="F89" i="8"/>
  <c r="C195" i="1" s="1"/>
  <c r="F81" i="8"/>
  <c r="C194" i="1" s="1"/>
  <c r="F66" i="8"/>
  <c r="C193" i="1" s="1"/>
  <c r="F73" i="8"/>
  <c r="C192" i="1" s="1"/>
  <c r="F59" i="8"/>
  <c r="C191" i="1" s="1"/>
  <c r="F50" i="8"/>
  <c r="C190" i="1" s="1"/>
  <c r="F43" i="8"/>
  <c r="C189" i="1" s="1"/>
  <c r="F34" i="8"/>
  <c r="C188" i="1" s="1"/>
  <c r="F21" i="8"/>
  <c r="C187" i="1" s="1"/>
  <c r="F12" i="8"/>
  <c r="C186" i="1" s="1"/>
  <c r="A370" i="2"/>
  <c r="B17" i="1" s="1"/>
  <c r="A280" i="2"/>
  <c r="A2" i="44" s="1"/>
  <c r="A279" i="2"/>
  <c r="A1" i="44" s="1"/>
  <c r="A276" i="2"/>
  <c r="A2" i="43" s="1"/>
  <c r="A10" i="2"/>
  <c r="E10" i="14" s="1"/>
  <c r="A11" i="2"/>
  <c r="E11" i="14" s="1"/>
  <c r="A12" i="2"/>
  <c r="E12" i="14" s="1"/>
  <c r="A14" i="2"/>
  <c r="E16" i="14" s="1"/>
  <c r="A15" i="2"/>
  <c r="E22" i="14" s="1"/>
  <c r="A21" i="2"/>
  <c r="A35" i="37" s="1"/>
  <c r="A22" i="2"/>
  <c r="B36" i="37" s="1"/>
  <c r="A23" i="2"/>
  <c r="A27" i="37" s="1"/>
  <c r="A24" i="2"/>
  <c r="A28" i="37" s="1"/>
  <c r="A25" i="2"/>
  <c r="A29" i="37" s="1"/>
  <c r="A26" i="2"/>
  <c r="A30" i="37" s="1"/>
  <c r="A27" i="2"/>
  <c r="A31" i="37" s="1"/>
  <c r="A28" i="2"/>
  <c r="A32" i="37" s="1"/>
  <c r="A29" i="2"/>
  <c r="A33" i="37" s="1"/>
  <c r="A35" i="2"/>
  <c r="A1" i="37" s="1"/>
  <c r="A36" i="2"/>
  <c r="A2" i="37" s="1"/>
  <c r="A37" i="2"/>
  <c r="A1" i="1" s="1"/>
  <c r="A38" i="2"/>
  <c r="A39" i="2"/>
  <c r="B4" i="1" s="1"/>
  <c r="A40" i="2"/>
  <c r="B5" i="1" s="1"/>
  <c r="A41" i="2"/>
  <c r="B6" i="1" s="1"/>
  <c r="A42" i="2"/>
  <c r="B7" i="1" s="1"/>
  <c r="A43" i="2"/>
  <c r="B8" i="1" s="1"/>
  <c r="A44" i="2"/>
  <c r="B10" i="1" s="1"/>
  <c r="A45" i="2"/>
  <c r="B11" i="1" s="1"/>
  <c r="A46" i="2"/>
  <c r="B12" i="1" s="1"/>
  <c r="A47" i="2"/>
  <c r="B13" i="1" s="1"/>
  <c r="A48" i="2"/>
  <c r="B14" i="1" s="1"/>
  <c r="A49" i="2"/>
  <c r="B15" i="1" s="1"/>
  <c r="A50" i="2"/>
  <c r="B16" i="1" s="1"/>
  <c r="A51" i="2"/>
  <c r="A52" i="2"/>
  <c r="B18" i="1" s="1"/>
  <c r="A53" i="2"/>
  <c r="B19" i="1" s="1"/>
  <c r="A54" i="2"/>
  <c r="B20" i="1" s="1"/>
  <c r="A55" i="2"/>
  <c r="B21" i="1" s="1"/>
  <c r="A56" i="2"/>
  <c r="B22" i="1" s="1"/>
  <c r="A57" i="2"/>
  <c r="B23" i="1" s="1"/>
  <c r="A58" i="2"/>
  <c r="B24" i="1" s="1"/>
  <c r="A59" i="2"/>
  <c r="B25" i="1" s="1"/>
  <c r="A60" i="2"/>
  <c r="B26" i="1" s="1"/>
  <c r="A61" i="2"/>
  <c r="B28" i="1" s="1"/>
  <c r="A62" i="2"/>
  <c r="B29" i="1" s="1"/>
  <c r="A63" i="2"/>
  <c r="B30" i="1" s="1"/>
  <c r="A64" i="2"/>
  <c r="B31" i="1" s="1"/>
  <c r="A65" i="2"/>
  <c r="B32" i="1" s="1"/>
  <c r="A66" i="2"/>
  <c r="B33" i="1" s="1"/>
  <c r="A67" i="2"/>
  <c r="B34" i="1" s="1"/>
  <c r="A68" i="2"/>
  <c r="B36" i="1" s="1"/>
  <c r="A69" i="2"/>
  <c r="A70" i="2"/>
  <c r="A71" i="2"/>
  <c r="A72" i="2"/>
  <c r="A73" i="2"/>
  <c r="A74" i="2"/>
  <c r="A75" i="2"/>
  <c r="A76" i="2"/>
  <c r="A77" i="2"/>
  <c r="A78" i="2"/>
  <c r="A79" i="2"/>
  <c r="A80" i="2"/>
  <c r="B37" i="1" s="1"/>
  <c r="A81" i="2"/>
  <c r="B38" i="1" s="1"/>
  <c r="A87" i="2"/>
  <c r="B47" i="1" s="1"/>
  <c r="A88" i="2"/>
  <c r="A89" i="2"/>
  <c r="B49" i="1" s="1"/>
  <c r="A90" i="2"/>
  <c r="A91" i="2"/>
  <c r="A92" i="2"/>
  <c r="A93" i="2"/>
  <c r="A94" i="2"/>
  <c r="A95" i="2"/>
  <c r="A96" i="2"/>
  <c r="A97" i="2"/>
  <c r="A98" i="2"/>
  <c r="A99" i="2"/>
  <c r="A100" i="2"/>
  <c r="A101" i="2"/>
  <c r="A102" i="2"/>
  <c r="A103" i="2"/>
  <c r="B64" i="1" s="1"/>
  <c r="A104" i="2"/>
  <c r="B65" i="1" s="1"/>
  <c r="A105" i="2"/>
  <c r="B66" i="1" s="1"/>
  <c r="A106" i="2"/>
  <c r="B67" i="1" s="1"/>
  <c r="A107" i="2"/>
  <c r="B68" i="1" s="1"/>
  <c r="A108" i="2"/>
  <c r="B69" i="1" s="1"/>
  <c r="A109" i="2"/>
  <c r="B70" i="1" s="1"/>
  <c r="A110" i="2"/>
  <c r="B71" i="1" s="1"/>
  <c r="A111" i="2"/>
  <c r="B72" i="1" s="1"/>
  <c r="A112" i="2"/>
  <c r="B73" i="1" s="1"/>
  <c r="A113" i="2"/>
  <c r="B74" i="1" s="1"/>
  <c r="A114" i="2"/>
  <c r="B76" i="1" s="1"/>
  <c r="A115" i="2"/>
  <c r="B77" i="1" s="1"/>
  <c r="A116" i="2"/>
  <c r="B78" i="1" s="1"/>
  <c r="A117" i="2"/>
  <c r="B79" i="1" s="1"/>
  <c r="A118" i="2"/>
  <c r="B80" i="1" s="1"/>
  <c r="A119" i="2"/>
  <c r="B81" i="1" s="1"/>
  <c r="A120" i="2"/>
  <c r="B82" i="1" s="1"/>
  <c r="A121" i="2"/>
  <c r="A122" i="2"/>
  <c r="B85" i="1" s="1"/>
  <c r="A123" i="2"/>
  <c r="B86" i="1" s="1"/>
  <c r="A124" i="2"/>
  <c r="B87" i="1" s="1"/>
  <c r="A125" i="2"/>
  <c r="B88" i="1" s="1"/>
  <c r="A126" i="2"/>
  <c r="B89" i="1" s="1"/>
  <c r="A127" i="2"/>
  <c r="B90" i="1" s="1"/>
  <c r="A128" i="2"/>
  <c r="B91" i="1" s="1"/>
  <c r="A129" i="2"/>
  <c r="A130" i="2"/>
  <c r="B94" i="1" s="1"/>
  <c r="A131" i="2"/>
  <c r="B95" i="1" s="1"/>
  <c r="A132" i="2"/>
  <c r="B96" i="1" s="1"/>
  <c r="A133" i="2"/>
  <c r="B97" i="1" s="1"/>
  <c r="A134" i="2"/>
  <c r="A135" i="2"/>
  <c r="B100" i="1" s="1"/>
  <c r="A136" i="2"/>
  <c r="B101" i="1" s="1"/>
  <c r="A137" i="2"/>
  <c r="B102" i="1" s="1"/>
  <c r="A138" i="2"/>
  <c r="B103" i="1" s="1"/>
  <c r="A139" i="2"/>
  <c r="B104" i="1" s="1"/>
  <c r="A140" i="2"/>
  <c r="B105" i="1" s="1"/>
  <c r="A141" i="2"/>
  <c r="A142" i="2"/>
  <c r="B108" i="1" s="1"/>
  <c r="A143" i="2"/>
  <c r="B109" i="1" s="1"/>
  <c r="A144" i="2"/>
  <c r="B110" i="1" s="1"/>
  <c r="A145" i="2"/>
  <c r="B111" i="1" s="1"/>
  <c r="A146" i="2"/>
  <c r="B112" i="1" s="1"/>
  <c r="A147" i="2"/>
  <c r="B113" i="1" s="1"/>
  <c r="A148" i="2"/>
  <c r="B114" i="1" s="1"/>
  <c r="A149" i="2"/>
  <c r="B115" i="1" s="1"/>
  <c r="A150" i="2"/>
  <c r="A151" i="2"/>
  <c r="B118" i="1" s="1"/>
  <c r="A152" i="2"/>
  <c r="B119" i="1" s="1"/>
  <c r="A153" i="2"/>
  <c r="B120" i="1" s="1"/>
  <c r="A154" i="2"/>
  <c r="B121" i="1" s="1"/>
  <c r="A155" i="2"/>
  <c r="B122" i="1" s="1"/>
  <c r="A156" i="2"/>
  <c r="A157" i="2"/>
  <c r="B125" i="1" s="1"/>
  <c r="A158" i="2"/>
  <c r="B126" i="1" s="1"/>
  <c r="A159" i="2"/>
  <c r="B127" i="1" s="1"/>
  <c r="A160" i="2"/>
  <c r="B128" i="1" s="1"/>
  <c r="A161" i="2"/>
  <c r="B129" i="1" s="1"/>
  <c r="A162" i="2"/>
  <c r="A163" i="2"/>
  <c r="B132" i="1" s="1"/>
  <c r="A164" i="2"/>
  <c r="B133" i="1" s="1"/>
  <c r="A165" i="2"/>
  <c r="B134" i="1" s="1"/>
  <c r="A166" i="2"/>
  <c r="B135" i="1" s="1"/>
  <c r="A167" i="2"/>
  <c r="B57" i="1" s="1"/>
  <c r="A168" i="2"/>
  <c r="B138" i="1" s="1"/>
  <c r="A169" i="2"/>
  <c r="B139" i="1" s="1"/>
  <c r="A170" i="2"/>
  <c r="B140" i="1" s="1"/>
  <c r="A171" i="2"/>
  <c r="B141" i="1" s="1"/>
  <c r="A172" i="2"/>
  <c r="B142" i="1" s="1"/>
  <c r="A173" i="2"/>
  <c r="B143" i="1" s="1"/>
  <c r="A174" i="2"/>
  <c r="B144" i="1" s="1"/>
  <c r="A175" i="2"/>
  <c r="B145" i="1" s="1"/>
  <c r="A176" i="2"/>
  <c r="B146" i="1" s="1"/>
  <c r="A177" i="2"/>
  <c r="B147" i="1" s="1"/>
  <c r="A178" i="2"/>
  <c r="B148" i="1" s="1"/>
  <c r="A179" i="2"/>
  <c r="B149" i="1" s="1"/>
  <c r="A180" i="2"/>
  <c r="B150" i="1" s="1"/>
  <c r="A181" i="2"/>
  <c r="B151" i="1" s="1"/>
  <c r="A182" i="2"/>
  <c r="B152" i="1" s="1"/>
  <c r="A183" i="2"/>
  <c r="A184" i="2"/>
  <c r="B155" i="1" s="1"/>
  <c r="A185" i="2"/>
  <c r="B156" i="1" s="1"/>
  <c r="A186" i="2"/>
  <c r="B157" i="1" s="1"/>
  <c r="A187" i="2"/>
  <c r="B158" i="1" s="1"/>
  <c r="A188" i="2"/>
  <c r="B159" i="1" s="1"/>
  <c r="A189" i="2"/>
  <c r="B160" i="1" s="1"/>
  <c r="A190" i="2"/>
  <c r="A191" i="2"/>
  <c r="B163" i="1" s="1"/>
  <c r="A192" i="2"/>
  <c r="B164" i="1" s="1"/>
  <c r="A193" i="2"/>
  <c r="B165" i="1" s="1"/>
  <c r="A194" i="2"/>
  <c r="B166" i="1" s="1"/>
  <c r="A195" i="2"/>
  <c r="B167" i="1" s="1"/>
  <c r="A196" i="2"/>
  <c r="B168" i="1" s="1"/>
  <c r="A197" i="2"/>
  <c r="B169" i="1" s="1"/>
  <c r="A198" i="2"/>
  <c r="B170" i="1" s="1"/>
  <c r="A199" i="2"/>
  <c r="B171" i="1" s="1"/>
  <c r="A200" i="2"/>
  <c r="B172" i="1" s="1"/>
  <c r="A201" i="2"/>
  <c r="A202" i="2"/>
  <c r="B175" i="1" s="1"/>
  <c r="A203" i="2"/>
  <c r="B176" i="1" s="1"/>
  <c r="A204" i="2"/>
  <c r="B177" i="1" s="1"/>
  <c r="A205" i="2"/>
  <c r="A206" i="2"/>
  <c r="B180" i="1" s="1"/>
  <c r="A207" i="2"/>
  <c r="B181" i="1" s="1"/>
  <c r="A208" i="2"/>
  <c r="B182" i="1" s="1"/>
  <c r="A209" i="2"/>
  <c r="B183" i="1" s="1"/>
  <c r="A210" i="2"/>
  <c r="B185" i="1" s="1"/>
  <c r="A214" i="2"/>
  <c r="B186" i="1" s="1"/>
  <c r="A215" i="2"/>
  <c r="B187" i="1" s="1"/>
  <c r="A216" i="2"/>
  <c r="B188" i="1" s="1"/>
  <c r="A217" i="2"/>
  <c r="B189" i="1" s="1"/>
  <c r="A218" i="2"/>
  <c r="B190" i="1" s="1"/>
  <c r="A219" i="2"/>
  <c r="B191" i="1" s="1"/>
  <c r="A220" i="2"/>
  <c r="B192" i="1" s="1"/>
  <c r="A221" i="2"/>
  <c r="B193" i="1" s="1"/>
  <c r="A222" i="2"/>
  <c r="B194" i="1" s="1"/>
  <c r="A223" i="2"/>
  <c r="B195" i="1" s="1"/>
  <c r="A224" i="2"/>
  <c r="B196" i="1" s="1"/>
  <c r="A225" i="2"/>
  <c r="B197" i="1" s="1"/>
  <c r="A226" i="2"/>
  <c r="B198" i="1" s="1"/>
  <c r="A227" i="2"/>
  <c r="B199" i="1" s="1"/>
  <c r="A228" i="2"/>
  <c r="B200" i="1" s="1"/>
  <c r="A229" i="2"/>
  <c r="B201" i="1" s="1"/>
  <c r="A230" i="2"/>
  <c r="B202" i="1" s="1"/>
  <c r="A231" i="2"/>
  <c r="B203" i="1" s="1"/>
  <c r="A232" i="2"/>
  <c r="B204" i="1" s="1"/>
  <c r="A233" i="2"/>
  <c r="B205" i="1" s="1"/>
  <c r="A234" i="2"/>
  <c r="B206" i="1" s="1"/>
  <c r="A235" i="2"/>
  <c r="B207" i="1" s="1"/>
  <c r="A236" i="2"/>
  <c r="B208" i="1" s="1"/>
  <c r="A237" i="2"/>
  <c r="B209" i="1" s="1"/>
  <c r="A238" i="2"/>
  <c r="B210" i="1" s="1"/>
  <c r="A239" i="2"/>
  <c r="B212" i="1" s="1"/>
  <c r="A240" i="2"/>
  <c r="B213" i="1" s="1"/>
  <c r="A241" i="2"/>
  <c r="B214" i="1" s="1"/>
  <c r="A242" i="2"/>
  <c r="B215" i="1" s="1"/>
  <c r="A243" i="2"/>
  <c r="B216" i="1" s="1"/>
  <c r="A244" i="2"/>
  <c r="B217" i="1" s="1"/>
  <c r="A245" i="2"/>
  <c r="B218" i="1" s="1"/>
  <c r="A246" i="2"/>
  <c r="B219" i="1" s="1"/>
  <c r="A247" i="2"/>
  <c r="B220" i="1" s="1"/>
  <c r="A248" i="2"/>
  <c r="B221" i="1" s="1"/>
  <c r="A249" i="2"/>
  <c r="B222" i="1" s="1"/>
  <c r="A250" i="2"/>
  <c r="B223" i="1" s="1"/>
  <c r="A251" i="2"/>
  <c r="B224" i="1" s="1"/>
  <c r="A252" i="2"/>
  <c r="B225" i="1" s="1"/>
  <c r="A253" i="2"/>
  <c r="B226" i="1" s="1"/>
  <c r="A254" i="2"/>
  <c r="B227" i="1" s="1"/>
  <c r="A255" i="2"/>
  <c r="B228" i="1" s="1"/>
  <c r="A256" i="2"/>
  <c r="B229" i="1" s="1"/>
  <c r="A257" i="2"/>
  <c r="B230" i="1" s="1"/>
  <c r="A258" i="2"/>
  <c r="B231" i="1" s="1"/>
  <c r="A259" i="2"/>
  <c r="B232" i="1" s="1"/>
  <c r="A260" i="2"/>
  <c r="B233" i="1" s="1"/>
  <c r="A261" i="2"/>
  <c r="B234" i="1" s="1"/>
  <c r="A262" i="2"/>
  <c r="B235" i="1" s="1"/>
  <c r="A263" i="2"/>
  <c r="B236" i="1" s="1"/>
  <c r="A264" i="2"/>
  <c r="B237" i="1" s="1"/>
  <c r="A265" i="2"/>
  <c r="B238" i="1" s="1"/>
  <c r="A266" i="2"/>
  <c r="B239" i="1" s="1"/>
  <c r="A267" i="2"/>
  <c r="B240" i="1" s="1"/>
  <c r="A268" i="2"/>
  <c r="B241" i="1" s="1"/>
  <c r="A269" i="2"/>
  <c r="B242" i="1" s="1"/>
  <c r="A270" i="2"/>
  <c r="B243" i="1" s="1"/>
  <c r="A271" i="2"/>
  <c r="B244" i="1" s="1"/>
  <c r="A272" i="2"/>
  <c r="B245" i="1" s="1"/>
  <c r="A273" i="2"/>
  <c r="B246" i="1" s="1"/>
  <c r="A274" i="2"/>
  <c r="B247" i="1" s="1"/>
  <c r="A275" i="2"/>
  <c r="A1" i="43" s="1"/>
  <c r="A283" i="2"/>
  <c r="B1" i="27" s="1"/>
  <c r="A284" i="2"/>
  <c r="B2" i="27" s="1"/>
  <c r="A285" i="2"/>
  <c r="B117" i="27" s="1"/>
  <c r="A286" i="2"/>
  <c r="B131" i="27" s="1"/>
  <c r="A287" i="2"/>
  <c r="B3" i="27" s="1"/>
  <c r="A294" i="2"/>
  <c r="B118" i="27" s="1"/>
  <c r="A295" i="2"/>
  <c r="B133" i="27" s="1"/>
  <c r="A299" i="2"/>
  <c r="B1" i="3" s="1"/>
  <c r="A300" i="2"/>
  <c r="B3" i="3" s="1"/>
  <c r="A301" i="2"/>
  <c r="A302" i="2"/>
  <c r="B5" i="3" s="1"/>
  <c r="A303" i="2"/>
  <c r="B6" i="3" s="1"/>
  <c r="A304" i="2"/>
  <c r="B7" i="3" s="1"/>
  <c r="A305" i="2"/>
  <c r="B8" i="3" s="1"/>
  <c r="A306" i="2"/>
  <c r="B9" i="3" s="1"/>
  <c r="A307" i="2"/>
  <c r="B10" i="3" s="1"/>
  <c r="A308" i="2"/>
  <c r="B11" i="3" s="1"/>
  <c r="A309" i="2"/>
  <c r="B12" i="3" s="1"/>
  <c r="A310" i="2"/>
  <c r="B13" i="3" s="1"/>
  <c r="A311" i="2"/>
  <c r="B15" i="3" s="1"/>
  <c r="A319" i="2"/>
  <c r="B21" i="3" s="1"/>
  <c r="A320" i="2"/>
  <c r="A321" i="2"/>
  <c r="A322" i="2"/>
  <c r="A323" i="2"/>
  <c r="A324" i="2"/>
  <c r="A325" i="2"/>
  <c r="A326" i="2"/>
  <c r="A327" i="2"/>
  <c r="B31" i="3" s="1"/>
  <c r="A328" i="2"/>
  <c r="B32" i="3" s="1"/>
  <c r="A329" i="2"/>
  <c r="B33" i="3" s="1"/>
  <c r="A330" i="2"/>
  <c r="B34" i="3" s="1"/>
  <c r="A331" i="2"/>
  <c r="B35" i="3" s="1"/>
  <c r="A332" i="2"/>
  <c r="B36" i="3" s="1"/>
  <c r="A333" i="2"/>
  <c r="B37" i="3" s="1"/>
  <c r="A334" i="2"/>
  <c r="B38" i="3" s="1"/>
  <c r="A335" i="2"/>
  <c r="B39" i="3" s="1"/>
  <c r="A336" i="2"/>
  <c r="B40" i="3" s="1"/>
  <c r="A337" i="2"/>
  <c r="B41" i="3" s="1"/>
  <c r="A338" i="2"/>
  <c r="B42" i="3" s="1"/>
  <c r="A339" i="2"/>
  <c r="B43" i="3" s="1"/>
  <c r="A340" i="2"/>
  <c r="B44" i="3" s="1"/>
  <c r="A341" i="2"/>
  <c r="B45" i="3" s="1"/>
  <c r="A342" i="2"/>
  <c r="B46" i="3" s="1"/>
  <c r="A343" i="2"/>
  <c r="B47" i="3" s="1"/>
  <c r="A344" i="2"/>
  <c r="B48" i="3" s="1"/>
  <c r="A345" i="2"/>
  <c r="B49" i="3" s="1"/>
  <c r="A346" i="2"/>
  <c r="B50" i="3" s="1"/>
  <c r="A347" i="2"/>
  <c r="B51" i="3" s="1"/>
  <c r="A348" i="2"/>
  <c r="B52" i="3" s="1"/>
  <c r="A349" i="2"/>
  <c r="B53" i="3" s="1"/>
  <c r="A350" i="2"/>
  <c r="B54" i="3" s="1"/>
  <c r="A351" i="2"/>
  <c r="B55" i="3" s="1"/>
  <c r="A352" i="2"/>
  <c r="B56" i="3" s="1"/>
  <c r="A354" i="2"/>
  <c r="B58" i="3" s="1"/>
  <c r="A355" i="2"/>
  <c r="B59" i="3" s="1"/>
  <c r="A356" i="2"/>
  <c r="B60" i="3" s="1"/>
  <c r="A357" i="2"/>
  <c r="B61" i="3" s="1"/>
  <c r="A358" i="2"/>
  <c r="B62" i="3" s="1"/>
  <c r="A359" i="2"/>
  <c r="B63" i="3" s="1"/>
  <c r="A360" i="2"/>
  <c r="B64" i="3" s="1"/>
  <c r="A361" i="2"/>
  <c r="B65" i="3" s="1"/>
  <c r="A362" i="2"/>
  <c r="B66" i="3" s="1"/>
  <c r="A363" i="2"/>
  <c r="B67" i="3" s="1"/>
  <c r="A364" i="2"/>
  <c r="B68" i="3" s="1"/>
  <c r="A365" i="2"/>
  <c r="B69" i="3" s="1"/>
  <c r="A366" i="2"/>
  <c r="B70" i="3" s="1"/>
  <c r="A367" i="2"/>
  <c r="B71" i="3" s="1"/>
  <c r="A368" i="2"/>
  <c r="B72" i="3" s="1"/>
  <c r="A369" i="2"/>
  <c r="B73" i="3" s="1"/>
  <c r="A371" i="2"/>
  <c r="B75" i="3" s="1"/>
  <c r="A372" i="2"/>
  <c r="B76" i="3" s="1"/>
  <c r="A373" i="2"/>
  <c r="B77" i="3" s="1"/>
  <c r="A374" i="2"/>
  <c r="B78" i="3" s="1"/>
  <c r="A375" i="2"/>
  <c r="B79" i="3" s="1"/>
  <c r="A376" i="2"/>
  <c r="B80" i="3" s="1"/>
  <c r="A377" i="2"/>
  <c r="B81" i="3" s="1"/>
  <c r="A378" i="2"/>
  <c r="B82" i="3" s="1"/>
  <c r="A379" i="2"/>
  <c r="B83" i="3" s="1"/>
  <c r="A380" i="2"/>
  <c r="B85" i="3" s="1"/>
  <c r="A381" i="2"/>
  <c r="B86" i="3" s="1"/>
  <c r="A382" i="2"/>
  <c r="B87" i="3" s="1"/>
  <c r="A383" i="2"/>
  <c r="B88" i="3" s="1"/>
  <c r="A384" i="2"/>
  <c r="B89" i="3" s="1"/>
  <c r="A385" i="2"/>
  <c r="B90" i="3" s="1"/>
  <c r="A386" i="2"/>
  <c r="B91" i="3" s="1"/>
  <c r="A387" i="2"/>
  <c r="B92" i="3" s="1"/>
  <c r="A388" i="2"/>
  <c r="B94" i="3" s="1"/>
  <c r="A389" i="2"/>
  <c r="B95" i="3" s="1"/>
  <c r="A390" i="2"/>
  <c r="B96" i="3" s="1"/>
  <c r="A391" i="2"/>
  <c r="B97" i="3" s="1"/>
  <c r="A392" i="2"/>
  <c r="B98" i="3" s="1"/>
  <c r="A393" i="2"/>
  <c r="B99" i="3" s="1"/>
  <c r="A394" i="2"/>
  <c r="B101" i="3" s="1"/>
  <c r="A395" i="2"/>
  <c r="B102" i="3" s="1"/>
  <c r="A396" i="2"/>
  <c r="B103" i="3" s="1"/>
  <c r="A397" i="2"/>
  <c r="B104" i="3" s="1"/>
  <c r="A398" i="2"/>
  <c r="B105" i="3" s="1"/>
  <c r="A399" i="2"/>
  <c r="B106" i="3" s="1"/>
  <c r="A400" i="2"/>
  <c r="B107" i="3" s="1"/>
  <c r="A401" i="2"/>
  <c r="B108" i="3" s="1"/>
  <c r="A402" i="2"/>
  <c r="B110" i="3" s="1"/>
  <c r="A403" i="2"/>
  <c r="B111" i="3" s="1"/>
  <c r="A409" i="2"/>
  <c r="B117" i="3" s="1"/>
  <c r="A410" i="2"/>
  <c r="B119" i="3" s="1"/>
  <c r="A411" i="2"/>
  <c r="B120" i="3" s="1"/>
  <c r="A412" i="2"/>
  <c r="B121" i="3" s="1"/>
  <c r="A413" i="2"/>
  <c r="B122" i="3" s="1"/>
  <c r="A414" i="2"/>
  <c r="B123" i="3" s="1"/>
  <c r="A415" i="2"/>
  <c r="B124" i="3" s="1"/>
  <c r="A416" i="2"/>
  <c r="B125" i="3" s="1"/>
  <c r="A417" i="2"/>
  <c r="B126" i="3" s="1"/>
  <c r="A418" i="2"/>
  <c r="B127" i="3" s="1"/>
  <c r="A419" i="2"/>
  <c r="B128" i="3" s="1"/>
  <c r="A420" i="2"/>
  <c r="B129" i="3" s="1"/>
  <c r="A421" i="2"/>
  <c r="B130" i="3" s="1"/>
  <c r="A422" i="2"/>
  <c r="B131" i="3" s="1"/>
  <c r="A423" i="2"/>
  <c r="B134" i="3" s="1"/>
  <c r="A424" i="2"/>
  <c r="B135" i="3" s="1"/>
  <c r="A425" i="2"/>
  <c r="B136" i="3" s="1"/>
  <c r="A426" i="2"/>
  <c r="B138" i="3" s="1"/>
  <c r="A427" i="2"/>
  <c r="B139" i="3" s="1"/>
  <c r="A428" i="2"/>
  <c r="B140" i="3" s="1"/>
  <c r="A430" i="2"/>
  <c r="B144" i="3" s="1"/>
  <c r="A431" i="2"/>
  <c r="B145" i="3" s="1"/>
  <c r="A432" i="2"/>
  <c r="B146" i="3" s="1"/>
  <c r="A433" i="2"/>
  <c r="B147" i="3" s="1"/>
  <c r="A434" i="2"/>
  <c r="B148" i="3" s="1"/>
  <c r="A435" i="2"/>
  <c r="B149" i="3" s="1"/>
  <c r="A436" i="2"/>
  <c r="B150" i="3" s="1"/>
  <c r="A437" i="2"/>
  <c r="B151" i="3" s="1"/>
  <c r="A438" i="2"/>
  <c r="B152" i="3" s="1"/>
  <c r="A440" i="2"/>
  <c r="B155" i="3" s="1"/>
  <c r="A446" i="2"/>
  <c r="B161" i="3" s="1"/>
  <c r="A447" i="2"/>
  <c r="B162" i="3" s="1"/>
  <c r="A448" i="2"/>
  <c r="B163" i="3" s="1"/>
  <c r="A449" i="2"/>
  <c r="B164" i="3" s="1"/>
  <c r="A450" i="2"/>
  <c r="C21" i="3" s="1"/>
  <c r="A451" i="2"/>
  <c r="E21" i="3" s="1"/>
  <c r="A452" i="2"/>
  <c r="G21" i="3" s="1"/>
  <c r="A453" i="2"/>
  <c r="H1" i="23" s="1"/>
  <c r="H1" i="9" s="1"/>
  <c r="A454" i="2"/>
  <c r="A455" i="2"/>
  <c r="D60" i="3" s="1"/>
  <c r="A456" i="2"/>
  <c r="D86" i="3" s="1"/>
  <c r="D110" i="3" s="1"/>
  <c r="A457" i="2"/>
  <c r="D120" i="3" s="1"/>
  <c r="A458" i="2"/>
  <c r="C133" i="3" s="1"/>
  <c r="A459" i="2"/>
  <c r="D143" i="3" s="1"/>
  <c r="A460" i="2"/>
  <c r="D155" i="3" s="1"/>
  <c r="A461" i="2"/>
  <c r="B1" i="23" s="1"/>
  <c r="A462" i="2"/>
  <c r="B2" i="23" s="1"/>
  <c r="A463" i="2"/>
  <c r="B3" i="23" s="1"/>
  <c r="A464" i="2"/>
  <c r="B4" i="23" s="1"/>
  <c r="A466" i="2"/>
  <c r="B6" i="23" s="1"/>
  <c r="A467" i="2"/>
  <c r="B7" i="23" s="1"/>
  <c r="A468" i="2"/>
  <c r="B8" i="23" s="1"/>
  <c r="A469" i="2"/>
  <c r="B9" i="23" s="1"/>
  <c r="A471" i="2"/>
  <c r="B11" i="23" s="1"/>
  <c r="A472" i="2"/>
  <c r="B12" i="23" s="1"/>
  <c r="A473" i="2"/>
  <c r="B13" i="23" s="1"/>
  <c r="A474" i="2"/>
  <c r="B14" i="23" s="1"/>
  <c r="B134" i="27" s="1"/>
  <c r="A475" i="2"/>
  <c r="B15" i="23" s="1"/>
  <c r="A476" i="2"/>
  <c r="B16" i="23" s="1"/>
  <c r="A478" i="2"/>
  <c r="B18" i="23" s="1"/>
  <c r="A479" i="2"/>
  <c r="B20" i="23" s="1"/>
  <c r="A480" i="2"/>
  <c r="B21" i="23" s="1"/>
  <c r="A481" i="2"/>
  <c r="B22" i="23" s="1"/>
  <c r="A482" i="2"/>
  <c r="B23" i="23" s="1"/>
  <c r="A483" i="2"/>
  <c r="B24" i="23" s="1"/>
  <c r="A484" i="2"/>
  <c r="B25" i="23" s="1"/>
  <c r="A485" i="2"/>
  <c r="B26" i="23" s="1"/>
  <c r="A486" i="2"/>
  <c r="B27" i="23" s="1"/>
  <c r="A487" i="2"/>
  <c r="B28" i="23" s="1"/>
  <c r="A488" i="2"/>
  <c r="B29" i="23" s="1"/>
  <c r="A489" i="2"/>
  <c r="B30" i="23" s="1"/>
  <c r="A490" i="2"/>
  <c r="B31" i="23" s="1"/>
  <c r="A491" i="2"/>
  <c r="B32" i="23" s="1"/>
  <c r="A492" i="2"/>
  <c r="B33" i="23" s="1"/>
  <c r="A493" i="2"/>
  <c r="B34" i="23" s="1"/>
  <c r="A494" i="2"/>
  <c r="B35" i="23" s="1"/>
  <c r="A495" i="2"/>
  <c r="B36" i="23" s="1"/>
  <c r="A496" i="2"/>
  <c r="B37" i="23" s="1"/>
  <c r="A497" i="2"/>
  <c r="B38" i="23" s="1"/>
  <c r="A498" i="2"/>
  <c r="B39" i="23" s="1"/>
  <c r="A499" i="2"/>
  <c r="B40" i="23" s="1"/>
  <c r="B5" i="27" s="1"/>
  <c r="A500" i="2"/>
  <c r="B41" i="23" s="1"/>
  <c r="A501" i="2"/>
  <c r="B42" i="23" s="1"/>
  <c r="A502" i="2"/>
  <c r="B43" i="23" s="1"/>
  <c r="A503" i="2"/>
  <c r="B44" i="23" s="1"/>
  <c r="A504" i="2"/>
  <c r="B45" i="23" s="1"/>
  <c r="A505" i="2"/>
  <c r="B46" i="23" s="1"/>
  <c r="A506" i="2"/>
  <c r="B47" i="23" s="1"/>
  <c r="A507" i="2"/>
  <c r="B48" i="23" s="1"/>
  <c r="A508" i="2"/>
  <c r="B49" i="23" s="1"/>
  <c r="A509" i="2"/>
  <c r="B50" i="23" s="1"/>
  <c r="A510" i="2"/>
  <c r="B51" i="23" s="1"/>
  <c r="A511" i="2"/>
  <c r="B52" i="23" s="1"/>
  <c r="A512" i="2"/>
  <c r="B53" i="23" s="1"/>
  <c r="A513" i="2"/>
  <c r="B54" i="23" s="1"/>
  <c r="A514" i="2"/>
  <c r="B55" i="23" s="1"/>
  <c r="A515" i="2"/>
  <c r="B56" i="23" s="1"/>
  <c r="A516" i="2"/>
  <c r="B57" i="23" s="1"/>
  <c r="A517" i="2"/>
  <c r="B58" i="23" s="1"/>
  <c r="A518" i="2"/>
  <c r="B59" i="23" s="1"/>
  <c r="A519" i="2"/>
  <c r="B60" i="23" s="1"/>
  <c r="A520" i="2"/>
  <c r="B61" i="23" s="1"/>
  <c r="A521" i="2"/>
  <c r="B62" i="23" s="1"/>
  <c r="A523" i="2"/>
  <c r="B64" i="23" s="1"/>
  <c r="B7" i="27" s="1"/>
  <c r="A524" i="2"/>
  <c r="B65" i="23" s="1"/>
  <c r="A525" i="2"/>
  <c r="B66" i="23" s="1"/>
  <c r="A526" i="2"/>
  <c r="B67" i="23" s="1"/>
  <c r="A527" i="2"/>
  <c r="B68" i="23" s="1"/>
  <c r="A528" i="2"/>
  <c r="B69" i="23" s="1"/>
  <c r="A529" i="2"/>
  <c r="B70" i="23" s="1"/>
  <c r="A530" i="2"/>
  <c r="B71" i="23" s="1"/>
  <c r="A531" i="2"/>
  <c r="B72" i="23" s="1"/>
  <c r="A532" i="2"/>
  <c r="B73" i="23" s="1"/>
  <c r="A533" i="2"/>
  <c r="B74" i="23" s="1"/>
  <c r="A534" i="2"/>
  <c r="B75" i="23" s="1"/>
  <c r="A535" i="2"/>
  <c r="B76" i="23" s="1"/>
  <c r="A536" i="2"/>
  <c r="B77" i="23" s="1"/>
  <c r="A537" i="2"/>
  <c r="B78" i="23" s="1"/>
  <c r="A538" i="2"/>
  <c r="B79" i="23" s="1"/>
  <c r="A539" i="2"/>
  <c r="B82" i="23" s="1"/>
  <c r="A540" i="2"/>
  <c r="B83" i="23" s="1"/>
  <c r="A541" i="2"/>
  <c r="B84" i="23" s="1"/>
  <c r="A542" i="2"/>
  <c r="B85" i="23" s="1"/>
  <c r="A543" i="2"/>
  <c r="B86" i="23" s="1"/>
  <c r="A544" i="2"/>
  <c r="B87" i="23" s="1"/>
  <c r="A545" i="2"/>
  <c r="B88" i="23" s="1"/>
  <c r="A546" i="2"/>
  <c r="B89" i="23" s="1"/>
  <c r="A547" i="2"/>
  <c r="B90" i="23" s="1"/>
  <c r="A548" i="2"/>
  <c r="B91" i="23" s="1"/>
  <c r="A549" i="2"/>
  <c r="B92" i="23" s="1"/>
  <c r="A550" i="2"/>
  <c r="B93" i="23" s="1"/>
  <c r="A551" i="2"/>
  <c r="B94" i="23" s="1"/>
  <c r="A552" i="2"/>
  <c r="B95" i="23" s="1"/>
  <c r="A553" i="2"/>
  <c r="B96" i="23" s="1"/>
  <c r="A554" i="2"/>
  <c r="B97" i="23" s="1"/>
  <c r="A555" i="2"/>
  <c r="B98" i="23" s="1"/>
  <c r="A556" i="2"/>
  <c r="B99" i="23" s="1"/>
  <c r="A557" i="2"/>
  <c r="B100" i="23" s="1"/>
  <c r="A558" i="2"/>
  <c r="B101" i="23" s="1"/>
  <c r="A559" i="2"/>
  <c r="B102" i="23" s="1"/>
  <c r="A560" i="2"/>
  <c r="B103" i="23" s="1"/>
  <c r="A561" i="2"/>
  <c r="B104" i="23" s="1"/>
  <c r="A562" i="2"/>
  <c r="B105" i="23" s="1"/>
  <c r="A563" i="2"/>
  <c r="B106" i="23" s="1"/>
  <c r="A564" i="2"/>
  <c r="B107" i="23" s="1"/>
  <c r="A565" i="2"/>
  <c r="B108" i="23" s="1"/>
  <c r="A566" i="2"/>
  <c r="B109" i="23" s="1"/>
  <c r="A567" i="2"/>
  <c r="B110" i="23" s="1"/>
  <c r="A568" i="2"/>
  <c r="B111" i="23" s="1"/>
  <c r="A569" i="2"/>
  <c r="B112" i="23" s="1"/>
  <c r="A570" i="2"/>
  <c r="B113" i="23" s="1"/>
  <c r="A571" i="2"/>
  <c r="B114" i="23" s="1"/>
  <c r="A572" i="2"/>
  <c r="B115" i="23" s="1"/>
  <c r="A573" i="2"/>
  <c r="B116" i="23" s="1"/>
  <c r="A574" i="2"/>
  <c r="B117" i="23" s="1"/>
  <c r="A575" i="2"/>
  <c r="B118" i="23" s="1"/>
  <c r="A576" i="2"/>
  <c r="B119" i="23" s="1"/>
  <c r="A577" i="2"/>
  <c r="B120" i="23" s="1"/>
  <c r="A578" i="2"/>
  <c r="B121" i="23" s="1"/>
  <c r="A579" i="2"/>
  <c r="B122" i="23" s="1"/>
  <c r="A580" i="2"/>
  <c r="B123" i="23" s="1"/>
  <c r="A581" i="2"/>
  <c r="B124" i="23" s="1"/>
  <c r="A582" i="2"/>
  <c r="B125" i="23" s="1"/>
  <c r="A583" i="2"/>
  <c r="B126" i="23" s="1"/>
  <c r="A584" i="2"/>
  <c r="B127" i="23" s="1"/>
  <c r="A585" i="2"/>
  <c r="B128" i="23" s="1"/>
  <c r="A586" i="2"/>
  <c r="B129" i="23" s="1"/>
  <c r="A587" i="2"/>
  <c r="B130" i="23" s="1"/>
  <c r="A588" i="2"/>
  <c r="B131" i="23" s="1"/>
  <c r="A589" i="2"/>
  <c r="B132" i="23" s="1"/>
  <c r="A590" i="2"/>
  <c r="B133" i="23" s="1"/>
  <c r="A591" i="2"/>
  <c r="B134" i="23" s="1"/>
  <c r="A592" i="2"/>
  <c r="B135" i="23" s="1"/>
  <c r="A593" i="2"/>
  <c r="B136" i="23" s="1"/>
  <c r="A594" i="2"/>
  <c r="B137" i="23" s="1"/>
  <c r="A595" i="2"/>
  <c r="B138" i="23" s="1"/>
  <c r="A596" i="2"/>
  <c r="B139" i="23" s="1"/>
  <c r="A597" i="2"/>
  <c r="B140" i="23" s="1"/>
  <c r="A598" i="2"/>
  <c r="B141" i="23" s="1"/>
  <c r="A599" i="2"/>
  <c r="B142" i="23" s="1"/>
  <c r="A600" i="2"/>
  <c r="B143" i="23" s="1"/>
  <c r="A601" i="2"/>
  <c r="B144" i="23" s="1"/>
  <c r="A602" i="2"/>
  <c r="B145" i="23" s="1"/>
  <c r="A603" i="2"/>
  <c r="B146" i="23" s="1"/>
  <c r="A604" i="2"/>
  <c r="B147" i="23" s="1"/>
  <c r="A605" i="2"/>
  <c r="B148" i="23" s="1"/>
  <c r="A606" i="2"/>
  <c r="B149" i="23" s="1"/>
  <c r="A607" i="2"/>
  <c r="B150" i="23" s="1"/>
  <c r="A608" i="2"/>
  <c r="B151" i="23" s="1"/>
  <c r="A609" i="2"/>
  <c r="B152" i="23" s="1"/>
  <c r="A610" i="2"/>
  <c r="B153" i="23" s="1"/>
  <c r="A611" i="2"/>
  <c r="B154" i="23" s="1"/>
  <c r="A612" i="2"/>
  <c r="B155" i="23" s="1"/>
  <c r="A613" i="2"/>
  <c r="B156" i="23" s="1"/>
  <c r="B136" i="27" s="1"/>
  <c r="A614" i="2"/>
  <c r="B157" i="23" s="1"/>
  <c r="A615" i="2"/>
  <c r="B158" i="23" s="1"/>
  <c r="A616" i="2"/>
  <c r="B159" i="23" s="1"/>
  <c r="A617" i="2"/>
  <c r="B160" i="23" s="1"/>
  <c r="A618" i="2"/>
  <c r="B161" i="23" s="1"/>
  <c r="A619" i="2"/>
  <c r="B162" i="23" s="1"/>
  <c r="A620" i="2"/>
  <c r="B163" i="23" s="1"/>
  <c r="A621" i="2"/>
  <c r="B164" i="23" s="1"/>
  <c r="A622" i="2"/>
  <c r="B165" i="23" s="1"/>
  <c r="A623" i="2"/>
  <c r="B166" i="23" s="1"/>
  <c r="A624" i="2"/>
  <c r="B167" i="23" s="1"/>
  <c r="A625" i="2"/>
  <c r="B168" i="23" s="1"/>
  <c r="B137" i="27" s="1"/>
  <c r="A626" i="2"/>
  <c r="B169" i="23" s="1"/>
  <c r="A627" i="2"/>
  <c r="B170" i="23" s="1"/>
  <c r="A628" i="2"/>
  <c r="B171" i="23" s="1"/>
  <c r="A629" i="2"/>
  <c r="B172" i="23" s="1"/>
  <c r="A630" i="2"/>
  <c r="B173" i="23" s="1"/>
  <c r="A631" i="2"/>
  <c r="C21" i="23" s="1"/>
  <c r="A632" i="2"/>
  <c r="H21" i="23" s="1"/>
  <c r="A633" i="2"/>
  <c r="H79" i="23" s="1"/>
  <c r="A634" i="2"/>
  <c r="H80" i="23" s="1"/>
  <c r="A635" i="2"/>
  <c r="H121" i="23" s="1"/>
  <c r="H128" i="23" s="1"/>
  <c r="A636" i="2"/>
  <c r="H135" i="23" s="1"/>
  <c r="H149" i="23" s="1"/>
  <c r="A637" i="2"/>
  <c r="B1" i="32" s="1"/>
  <c r="A638" i="2"/>
  <c r="B2" i="32" s="1"/>
  <c r="A639" i="2"/>
  <c r="B3" i="32" s="1"/>
  <c r="A640" i="2"/>
  <c r="B4" i="32" s="1"/>
  <c r="A641" i="2"/>
  <c r="B5" i="32" s="1"/>
  <c r="A642" i="2"/>
  <c r="B6" i="32" s="1"/>
  <c r="B138" i="27" s="1"/>
  <c r="A644" i="2"/>
  <c r="B7" i="32" s="1"/>
  <c r="A645" i="2"/>
  <c r="B8" i="32" s="1"/>
  <c r="A646" i="2"/>
  <c r="B9" i="32" s="1"/>
  <c r="A647" i="2"/>
  <c r="B10" i="32" s="1"/>
  <c r="A648" i="2"/>
  <c r="B11" i="32" s="1"/>
  <c r="A649" i="2"/>
  <c r="B12" i="32" s="1"/>
  <c r="A650" i="2"/>
  <c r="B13" i="32" s="1"/>
  <c r="A651" i="2"/>
  <c r="B14" i="32" s="1"/>
  <c r="A652" i="2"/>
  <c r="B15" i="32" s="1"/>
  <c r="A653" i="2"/>
  <c r="B16" i="32" s="1"/>
  <c r="A654" i="2"/>
  <c r="B18" i="32" s="1"/>
  <c r="A655" i="2"/>
  <c r="B19" i="32" s="1"/>
  <c r="A656" i="2"/>
  <c r="B20" i="32" s="1"/>
  <c r="A657" i="2"/>
  <c r="B21" i="32" s="1"/>
  <c r="A658" i="2"/>
  <c r="B22" i="32" s="1"/>
  <c r="A659" i="2"/>
  <c r="B23" i="32" s="1"/>
  <c r="A660" i="2"/>
  <c r="B24" i="32" s="1"/>
  <c r="A661" i="2"/>
  <c r="B25" i="32" s="1"/>
  <c r="A662" i="2"/>
  <c r="B26" i="32" s="1"/>
  <c r="A663" i="2"/>
  <c r="B27" i="32" s="1"/>
  <c r="A664" i="2"/>
  <c r="B29" i="32" s="1"/>
  <c r="A665" i="2"/>
  <c r="B30" i="32" s="1"/>
  <c r="A666" i="2"/>
  <c r="B31" i="32" s="1"/>
  <c r="A667" i="2"/>
  <c r="B32" i="32" s="1"/>
  <c r="A668" i="2"/>
  <c r="B33" i="32" s="1"/>
  <c r="A669" i="2"/>
  <c r="B34" i="32" s="1"/>
  <c r="A670" i="2"/>
  <c r="B35" i="32" s="1"/>
  <c r="A671" i="2"/>
  <c r="B36" i="32" s="1"/>
  <c r="A672" i="2"/>
  <c r="B37" i="32" s="1"/>
  <c r="A673" i="2"/>
  <c r="B38" i="32" s="1"/>
  <c r="A674" i="2"/>
  <c r="B39" i="32" s="1"/>
  <c r="A675" i="2"/>
  <c r="B40" i="32" s="1"/>
  <c r="A676" i="2"/>
  <c r="B41" i="32" s="1"/>
  <c r="A677" i="2"/>
  <c r="B43" i="32" s="1"/>
  <c r="A678" i="2"/>
  <c r="B44" i="32" s="1"/>
  <c r="A679" i="2"/>
  <c r="B45" i="32" s="1"/>
  <c r="A680" i="2"/>
  <c r="B46" i="32" s="1"/>
  <c r="A681" i="2"/>
  <c r="B47" i="32" s="1"/>
  <c r="A682" i="2"/>
  <c r="B48" i="32" s="1"/>
  <c r="A683" i="2"/>
  <c r="B49" i="32" s="1"/>
  <c r="A684" i="2"/>
  <c r="B50" i="32" s="1"/>
  <c r="A685" i="2"/>
  <c r="B51" i="32" s="1"/>
  <c r="A686" i="2"/>
  <c r="B52" i="32" s="1"/>
  <c r="A687" i="2"/>
  <c r="B53" i="32" s="1"/>
  <c r="A688" i="2"/>
  <c r="B54" i="32" s="1"/>
  <c r="B8" i="27" s="1"/>
  <c r="A689" i="2"/>
  <c r="B55" i="32" s="1"/>
  <c r="B9" i="27" s="1"/>
  <c r="A690" i="2"/>
  <c r="B57" i="32" s="1"/>
  <c r="A691" i="2"/>
  <c r="B58" i="32" s="1"/>
  <c r="A692" i="2"/>
  <c r="B59" i="32" s="1"/>
  <c r="A693" i="2"/>
  <c r="B60" i="32" s="1"/>
  <c r="A694" i="2"/>
  <c r="B61" i="32" s="1"/>
  <c r="A695" i="2"/>
  <c r="B62" i="32" s="1"/>
  <c r="A696" i="2"/>
  <c r="B63" i="32" s="1"/>
  <c r="A697" i="2"/>
  <c r="B65" i="32" s="1"/>
  <c r="A698" i="2"/>
  <c r="B66" i="32" s="1"/>
  <c r="A699" i="2"/>
  <c r="B67" i="32" s="1"/>
  <c r="A700" i="2"/>
  <c r="B68" i="32" s="1"/>
  <c r="A701" i="2"/>
  <c r="B69" i="32" s="1"/>
  <c r="A702" i="2"/>
  <c r="B70" i="32" s="1"/>
  <c r="A703" i="2"/>
  <c r="B71" i="32" s="1"/>
  <c r="A704" i="2"/>
  <c r="B72" i="32" s="1"/>
  <c r="A705" i="2"/>
  <c r="B73" i="32" s="1"/>
  <c r="B139" i="27" s="1"/>
  <c r="A706" i="2"/>
  <c r="B74" i="32" s="1"/>
  <c r="A707" i="2"/>
  <c r="B75" i="32" s="1"/>
  <c r="A708" i="2"/>
  <c r="B76" i="32" s="1"/>
  <c r="A709" i="2"/>
  <c r="B77" i="32" s="1"/>
  <c r="A710" i="2"/>
  <c r="B78" i="32" s="1"/>
  <c r="A711" i="2"/>
  <c r="B79" i="32" s="1"/>
  <c r="A712" i="2"/>
  <c r="B80" i="32" s="1"/>
  <c r="A713" i="2"/>
  <c r="B1" i="30" s="1"/>
  <c r="A714" i="2"/>
  <c r="B2" i="30" s="1"/>
  <c r="A715" i="2"/>
  <c r="B4" i="30" s="1"/>
  <c r="A716" i="2"/>
  <c r="B5" i="30" s="1"/>
  <c r="B140" i="27" s="1"/>
  <c r="A717" i="2"/>
  <c r="B6" i="30" s="1"/>
  <c r="B141" i="27" s="1"/>
  <c r="A718" i="2"/>
  <c r="B7" i="30" s="1"/>
  <c r="B142" i="27" s="1"/>
  <c r="A719" i="2"/>
  <c r="B8" i="30" s="1"/>
  <c r="B143" i="27" s="1"/>
  <c r="A720" i="2"/>
  <c r="B9" i="30" s="1"/>
  <c r="B10" i="27" s="1"/>
  <c r="A721" i="2"/>
  <c r="B10" i="30" s="1"/>
  <c r="B11" i="27" s="1"/>
  <c r="A722" i="2"/>
  <c r="B11" i="30" s="1"/>
  <c r="B12" i="27" s="1"/>
  <c r="A723" i="2"/>
  <c r="B13" i="30" s="1"/>
  <c r="A724" i="2"/>
  <c r="B14" i="30" s="1"/>
  <c r="A725" i="2"/>
  <c r="B15" i="30" s="1"/>
  <c r="A726" i="2"/>
  <c r="B16" i="30" s="1"/>
  <c r="A727" i="2"/>
  <c r="B17" i="30" s="1"/>
  <c r="A728" i="2"/>
  <c r="B18" i="30" s="1"/>
  <c r="A729" i="2"/>
  <c r="B19" i="30" s="1"/>
  <c r="A730" i="2"/>
  <c r="B20" i="30" s="1"/>
  <c r="A731" i="2"/>
  <c r="B21" i="30" s="1"/>
  <c r="A732" i="2"/>
  <c r="B22" i="30" s="1"/>
  <c r="A733" i="2"/>
  <c r="B23" i="30" s="1"/>
  <c r="A734" i="2"/>
  <c r="B24" i="30" s="1"/>
  <c r="A735" i="2"/>
  <c r="B25" i="30" s="1"/>
  <c r="A736" i="2"/>
  <c r="B27" i="30" s="1"/>
  <c r="A737" i="2"/>
  <c r="B28" i="30" s="1"/>
  <c r="A738" i="2"/>
  <c r="B29" i="30" s="1"/>
  <c r="A739" i="2"/>
  <c r="B30" i="30" s="1"/>
  <c r="A740" i="2"/>
  <c r="B31" i="30" s="1"/>
  <c r="A741" i="2"/>
  <c r="B32" i="30" s="1"/>
  <c r="A742" i="2"/>
  <c r="B33" i="30" s="1"/>
  <c r="A743" i="2"/>
  <c r="B34" i="30" s="1"/>
  <c r="A744" i="2"/>
  <c r="B35" i="30" s="1"/>
  <c r="A745" i="2"/>
  <c r="B36" i="30" s="1"/>
  <c r="A746" i="2"/>
  <c r="B37" i="30" s="1"/>
  <c r="A747" i="2"/>
  <c r="B38" i="30" s="1"/>
  <c r="A748" i="2"/>
  <c r="B39" i="30" s="1"/>
  <c r="A749" i="2"/>
  <c r="B40" i="30" s="1"/>
  <c r="A750" i="2"/>
  <c r="B41" i="30" s="1"/>
  <c r="A751" i="2"/>
  <c r="B43" i="30" s="1"/>
  <c r="A752" i="2"/>
  <c r="B44" i="30" s="1"/>
  <c r="A753" i="2"/>
  <c r="B45" i="30" s="1"/>
  <c r="A754" i="2"/>
  <c r="B46" i="30" s="1"/>
  <c r="A755" i="2"/>
  <c r="B47" i="30" s="1"/>
  <c r="A756" i="2"/>
  <c r="B48" i="30" s="1"/>
  <c r="A757" i="2"/>
  <c r="B49" i="30" s="1"/>
  <c r="A758" i="2"/>
  <c r="B50" i="30" s="1"/>
  <c r="A759" i="2"/>
  <c r="B51" i="30" s="1"/>
  <c r="A760" i="2"/>
  <c r="B52" i="30" s="1"/>
  <c r="A761" i="2"/>
  <c r="B53" i="30" s="1"/>
  <c r="A762" i="2"/>
  <c r="B54" i="30" s="1"/>
  <c r="A763" i="2"/>
  <c r="B55" i="30" s="1"/>
  <c r="A764" i="2"/>
  <c r="B56" i="30" s="1"/>
  <c r="A765" i="2"/>
  <c r="B57" i="30" s="1"/>
  <c r="A766" i="2"/>
  <c r="B58" i="30" s="1"/>
  <c r="A767" i="2"/>
  <c r="B59" i="30" s="1"/>
  <c r="A768" i="2"/>
  <c r="B60" i="30" s="1"/>
  <c r="A769" i="2"/>
  <c r="B61" i="30" s="1"/>
  <c r="A770" i="2"/>
  <c r="B62" i="30" s="1"/>
  <c r="A771" i="2"/>
  <c r="B63" i="30" s="1"/>
  <c r="A772" i="2"/>
  <c r="B64" i="30" s="1"/>
  <c r="A773" i="2"/>
  <c r="B65" i="30" s="1"/>
  <c r="A774" i="2"/>
  <c r="B66" i="30" s="1"/>
  <c r="A775" i="2"/>
  <c r="B68" i="30" s="1"/>
  <c r="A776" i="2"/>
  <c r="B69" i="30" s="1"/>
  <c r="A777" i="2"/>
  <c r="B70" i="30" s="1"/>
  <c r="A778" i="2"/>
  <c r="B71" i="30" s="1"/>
  <c r="A779" i="2"/>
  <c r="B72" i="30" s="1"/>
  <c r="A780" i="2"/>
  <c r="B73" i="30" s="1"/>
  <c r="A781" i="2"/>
  <c r="B74" i="30" s="1"/>
  <c r="A782" i="2"/>
  <c r="B75" i="30" s="1"/>
  <c r="A783" i="2"/>
  <c r="B76" i="30" s="1"/>
  <c r="A784" i="2"/>
  <c r="B77" i="30" s="1"/>
  <c r="A785" i="2"/>
  <c r="B78" i="30" s="1"/>
  <c r="A786" i="2"/>
  <c r="B80" i="30" s="1"/>
  <c r="A787" i="2"/>
  <c r="B81" i="30" s="1"/>
  <c r="B13" i="27" s="1"/>
  <c r="A788" i="2"/>
  <c r="B82" i="30" s="1"/>
  <c r="A789" i="2"/>
  <c r="B83" i="30" s="1"/>
  <c r="A790" i="2"/>
  <c r="B84" i="30" s="1"/>
  <c r="A791" i="2"/>
  <c r="B85" i="30" s="1"/>
  <c r="A792" i="2"/>
  <c r="B86" i="30" s="1"/>
  <c r="A793" i="2"/>
  <c r="B87" i="30" s="1"/>
  <c r="B144" i="27" s="1"/>
  <c r="A794" i="2"/>
  <c r="B88" i="30" s="1"/>
  <c r="B145" i="27" s="1"/>
  <c r="A795" i="2"/>
  <c r="B90" i="30" s="1"/>
  <c r="A796" i="2"/>
  <c r="B91" i="30" s="1"/>
  <c r="A797" i="2"/>
  <c r="B92" i="30" s="1"/>
  <c r="A798" i="2"/>
  <c r="B93" i="30" s="1"/>
  <c r="A799" i="2"/>
  <c r="B94" i="30" s="1"/>
  <c r="A801" i="2"/>
  <c r="B96" i="30" s="1"/>
  <c r="A802" i="2"/>
  <c r="B97" i="30" s="1"/>
  <c r="A803" i="2"/>
  <c r="B98" i="30" s="1"/>
  <c r="A804" i="2"/>
  <c r="B99" i="30" s="1"/>
  <c r="A805" i="2"/>
  <c r="B100" i="30" s="1"/>
  <c r="A806" i="2"/>
  <c r="B101" i="30" s="1"/>
  <c r="A807" i="2"/>
  <c r="B102" i="30" s="1"/>
  <c r="A808" i="2"/>
  <c r="B103" i="30" s="1"/>
  <c r="A809" i="2"/>
  <c r="B104" i="30" s="1"/>
  <c r="A810" i="2"/>
  <c r="B105" i="30" s="1"/>
  <c r="A811" i="2"/>
  <c r="B106" i="30" s="1"/>
  <c r="A812" i="2"/>
  <c r="B107" i="30" s="1"/>
  <c r="A813" i="2"/>
  <c r="B108" i="30" s="1"/>
  <c r="A814" i="2"/>
  <c r="B109" i="30" s="1"/>
  <c r="A815" i="2"/>
  <c r="B110" i="30" s="1"/>
  <c r="A816" i="2"/>
  <c r="B111" i="30" s="1"/>
  <c r="A817" i="2"/>
  <c r="B112" i="30" s="1"/>
  <c r="A818" i="2"/>
  <c r="B113" i="30" s="1"/>
  <c r="A819" i="2"/>
  <c r="B1" i="20" s="1"/>
  <c r="A820" i="2"/>
  <c r="B2" i="20" s="1"/>
  <c r="A821" i="2"/>
  <c r="B3" i="20" s="1"/>
  <c r="A822" i="2"/>
  <c r="B4" i="20" s="1"/>
  <c r="A823" i="2"/>
  <c r="B5" i="20" s="1"/>
  <c r="A824" i="2"/>
  <c r="B6" i="20" s="1"/>
  <c r="B119" i="27" s="1"/>
  <c r="A825" i="2"/>
  <c r="B7" i="20" s="1"/>
  <c r="A826" i="2"/>
  <c r="B8" i="20" s="1"/>
  <c r="A827" i="2"/>
  <c r="B9" i="20" s="1"/>
  <c r="A828" i="2"/>
  <c r="B10" i="20" s="1"/>
  <c r="A829" i="2"/>
  <c r="B11" i="20" s="1"/>
  <c r="A830" i="2"/>
  <c r="B12" i="20" s="1"/>
  <c r="B120" i="27" s="1"/>
  <c r="A831" i="2"/>
  <c r="B13" i="20" s="1"/>
  <c r="A832" i="2"/>
  <c r="B14" i="20" s="1"/>
  <c r="A833" i="2"/>
  <c r="B15" i="20" s="1"/>
  <c r="A834" i="2"/>
  <c r="B16" i="20" s="1"/>
  <c r="A835" i="2"/>
  <c r="B17" i="20" s="1"/>
  <c r="A836" i="2"/>
  <c r="B18" i="20" s="1"/>
  <c r="A837" i="2"/>
  <c r="B19" i="20" s="1"/>
  <c r="A838" i="2"/>
  <c r="B21" i="20" s="1"/>
  <c r="A839" i="2"/>
  <c r="B22" i="20" s="1"/>
  <c r="B146" i="27" s="1"/>
  <c r="A840" i="2"/>
  <c r="B23" i="20" s="1"/>
  <c r="B147" i="27" s="1"/>
  <c r="A841" i="2"/>
  <c r="B24" i="20" s="1"/>
  <c r="A842" i="2"/>
  <c r="B25" i="20" s="1"/>
  <c r="A843" i="2"/>
  <c r="B26" i="20" s="1"/>
  <c r="A844" i="2"/>
  <c r="B27" i="20" s="1"/>
  <c r="A845" i="2"/>
  <c r="B28" i="20" s="1"/>
  <c r="A846" i="2"/>
  <c r="B29" i="20" s="1"/>
  <c r="A847" i="2"/>
  <c r="B30" i="20" s="1"/>
  <c r="A848" i="2"/>
  <c r="B31" i="20" s="1"/>
  <c r="A849" i="2"/>
  <c r="B32" i="20" s="1"/>
  <c r="A850" i="2"/>
  <c r="B33" i="20" s="1"/>
  <c r="A851" i="2"/>
  <c r="B34" i="20" s="1"/>
  <c r="A852" i="2"/>
  <c r="B35" i="20" s="1"/>
  <c r="A853" i="2"/>
  <c r="B36" i="20" s="1"/>
  <c r="A854" i="2"/>
  <c r="B37" i="20" s="1"/>
  <c r="A855" i="2"/>
  <c r="B38" i="20" s="1"/>
  <c r="A856" i="2"/>
  <c r="B39" i="20" s="1"/>
  <c r="B121" i="27" s="1"/>
  <c r="A857" i="2"/>
  <c r="B40" i="20" s="1"/>
  <c r="A858" i="2"/>
  <c r="B41" i="20" s="1"/>
  <c r="B14" i="27" s="1"/>
  <c r="A859" i="2"/>
  <c r="B42" i="20" s="1"/>
  <c r="B15" i="27" s="1"/>
  <c r="A860" i="2"/>
  <c r="B43" i="20" s="1"/>
  <c r="A861" i="2"/>
  <c r="B44" i="20" s="1"/>
  <c r="A862" i="2"/>
  <c r="B45" i="20" s="1"/>
  <c r="A863" i="2"/>
  <c r="B46" i="20" s="1"/>
  <c r="A864" i="2"/>
  <c r="B47" i="20" s="1"/>
  <c r="B148" i="27" s="1"/>
  <c r="A865" i="2"/>
  <c r="B48" i="20" s="1"/>
  <c r="A866" i="2"/>
  <c r="B49" i="20" s="1"/>
  <c r="A867" i="2"/>
  <c r="B50" i="20" s="1"/>
  <c r="A868" i="2"/>
  <c r="B51" i="20" s="1"/>
  <c r="A869" i="2"/>
  <c r="B52" i="20" s="1"/>
  <c r="A870" i="2"/>
  <c r="B53" i="20" s="1"/>
  <c r="A871" i="2"/>
  <c r="B54" i="20" s="1"/>
  <c r="A872" i="2"/>
  <c r="B55" i="20" s="1"/>
  <c r="A873" i="2"/>
  <c r="B56" i="20" s="1"/>
  <c r="A874" i="2"/>
  <c r="B57" i="20" s="1"/>
  <c r="B149" i="27" s="1"/>
  <c r="A875" i="2"/>
  <c r="B58" i="20" s="1"/>
  <c r="A876" i="2"/>
  <c r="B59" i="20" s="1"/>
  <c r="A877" i="2"/>
  <c r="B60" i="20" s="1"/>
  <c r="A878" i="2"/>
  <c r="B61" i="20" s="1"/>
  <c r="A879" i="2"/>
  <c r="B62" i="20" s="1"/>
  <c r="A880" i="2"/>
  <c r="B63" i="20" s="1"/>
  <c r="A881" i="2"/>
  <c r="B64" i="20" s="1"/>
  <c r="A882" i="2"/>
  <c r="B65" i="20" s="1"/>
  <c r="B122" i="27" s="1"/>
  <c r="A883" i="2"/>
  <c r="B66" i="20" s="1"/>
  <c r="A884" i="2"/>
  <c r="B67" i="20" s="1"/>
  <c r="A885" i="2"/>
  <c r="B1" i="33" s="1"/>
  <c r="A886" i="2"/>
  <c r="B3" i="33" s="1"/>
  <c r="A887" i="2"/>
  <c r="B4" i="33" s="1"/>
  <c r="A888" i="2"/>
  <c r="B5" i="33" s="1"/>
  <c r="A889" i="2"/>
  <c r="B6" i="33" s="1"/>
  <c r="A890" i="2"/>
  <c r="B7" i="33" s="1"/>
  <c r="A891" i="2"/>
  <c r="B8" i="33" s="1"/>
  <c r="A892" i="2"/>
  <c r="B9" i="33" s="1"/>
  <c r="A893" i="2"/>
  <c r="B10" i="33" s="1"/>
  <c r="A894" i="2"/>
  <c r="B11" i="33" s="1"/>
  <c r="A895" i="2"/>
  <c r="B12" i="33" s="1"/>
  <c r="A896" i="2"/>
  <c r="B13" i="33" s="1"/>
  <c r="A897" i="2"/>
  <c r="B14" i="33" s="1"/>
  <c r="A898" i="2"/>
  <c r="B15" i="33" s="1"/>
  <c r="A899" i="2"/>
  <c r="B16" i="33" s="1"/>
  <c r="A900" i="2"/>
  <c r="B17" i="33" s="1"/>
  <c r="A901" i="2"/>
  <c r="B18" i="33" s="1"/>
  <c r="A902" i="2"/>
  <c r="B19" i="33" s="1"/>
  <c r="A903" i="2"/>
  <c r="B20" i="33" s="1"/>
  <c r="A904" i="2"/>
  <c r="B21" i="33" s="1"/>
  <c r="A905" i="2"/>
  <c r="B22" i="33" s="1"/>
  <c r="A906" i="2"/>
  <c r="B23" i="33" s="1"/>
  <c r="A907" i="2"/>
  <c r="B24" i="33" s="1"/>
  <c r="A908" i="2"/>
  <c r="B25" i="33" s="1"/>
  <c r="A909" i="2"/>
  <c r="B26" i="33" s="1"/>
  <c r="A910" i="2"/>
  <c r="B27" i="33" s="1"/>
  <c r="A911" i="2"/>
  <c r="B28" i="33" s="1"/>
  <c r="A912" i="2"/>
  <c r="B29" i="33" s="1"/>
  <c r="A913" i="2"/>
  <c r="B30" i="33" s="1"/>
  <c r="A914" i="2"/>
  <c r="B31" i="33" s="1"/>
  <c r="A915" i="2"/>
  <c r="B32" i="33" s="1"/>
  <c r="A916" i="2"/>
  <c r="B33" i="33" s="1"/>
  <c r="A917" i="2"/>
  <c r="B34" i="33" s="1"/>
  <c r="A918" i="2"/>
  <c r="B35" i="33" s="1"/>
  <c r="A919" i="2"/>
  <c r="B36" i="33" s="1"/>
  <c r="A920" i="2"/>
  <c r="B37" i="33" s="1"/>
  <c r="A921" i="2"/>
  <c r="B38" i="33" s="1"/>
  <c r="A922" i="2"/>
  <c r="B39" i="33" s="1"/>
  <c r="A923" i="2"/>
  <c r="B40" i="33" s="1"/>
  <c r="A924" i="2"/>
  <c r="B41" i="33" s="1"/>
  <c r="A925" i="2"/>
  <c r="B42" i="33" s="1"/>
  <c r="A926" i="2"/>
  <c r="B43" i="33" s="1"/>
  <c r="A927" i="2"/>
  <c r="B44" i="33" s="1"/>
  <c r="A928" i="2"/>
  <c r="B45" i="33" s="1"/>
  <c r="A929" i="2"/>
  <c r="B46" i="33" s="1"/>
  <c r="A930" i="2"/>
  <c r="B47" i="33" s="1"/>
  <c r="A931" i="2"/>
  <c r="B48" i="33" s="1"/>
  <c r="A932" i="2"/>
  <c r="B49" i="33" s="1"/>
  <c r="A933" i="2"/>
  <c r="B51" i="33" s="1"/>
  <c r="A934" i="2"/>
  <c r="B52" i="33" s="1"/>
  <c r="A935" i="2"/>
  <c r="B53" i="33" s="1"/>
  <c r="A936" i="2"/>
  <c r="B54" i="33" s="1"/>
  <c r="A937" i="2"/>
  <c r="B55" i="33" s="1"/>
  <c r="A938" i="2"/>
  <c r="B56" i="33" s="1"/>
  <c r="A939" i="2"/>
  <c r="B57" i="33" s="1"/>
  <c r="A940" i="2"/>
  <c r="B58" i="33" s="1"/>
  <c r="A941" i="2"/>
  <c r="B59" i="33" s="1"/>
  <c r="A942" i="2"/>
  <c r="B60" i="33" s="1"/>
  <c r="A943" i="2"/>
  <c r="B61" i="33" s="1"/>
  <c r="A944" i="2"/>
  <c r="B62" i="33" s="1"/>
  <c r="A945" i="2"/>
  <c r="B63" i="33" s="1"/>
  <c r="A946" i="2"/>
  <c r="B64" i="33" s="1"/>
  <c r="A947" i="2"/>
  <c r="B65" i="33" s="1"/>
  <c r="A948" i="2"/>
  <c r="B66" i="33" s="1"/>
  <c r="A949" i="2"/>
  <c r="B68" i="33" s="1"/>
  <c r="A950" i="2"/>
  <c r="B69" i="33" s="1"/>
  <c r="A951" i="2"/>
  <c r="B70" i="33" s="1"/>
  <c r="A952" i="2"/>
  <c r="B71" i="33" s="1"/>
  <c r="A953" i="2"/>
  <c r="B72" i="33" s="1"/>
  <c r="A954" i="2"/>
  <c r="B73" i="33" s="1"/>
  <c r="A955" i="2"/>
  <c r="B74" i="33" s="1"/>
  <c r="A956" i="2"/>
  <c r="B75" i="33" s="1"/>
  <c r="A957" i="2"/>
  <c r="B76" i="33" s="1"/>
  <c r="A958" i="2"/>
  <c r="B77" i="33" s="1"/>
  <c r="A959" i="2"/>
  <c r="B78" i="33" s="1"/>
  <c r="A960" i="2"/>
  <c r="B79" i="33" s="1"/>
  <c r="A961" i="2"/>
  <c r="B80" i="33" s="1"/>
  <c r="A962" i="2"/>
  <c r="B81" i="33" s="1"/>
  <c r="A963" i="2"/>
  <c r="B82" i="33" s="1"/>
  <c r="A964" i="2"/>
  <c r="B83" i="33" s="1"/>
  <c r="A965" i="2"/>
  <c r="B84" i="33" s="1"/>
  <c r="A966" i="2"/>
  <c r="B85" i="33" s="1"/>
  <c r="A967" i="2"/>
  <c r="B86" i="33" s="1"/>
  <c r="A968" i="2"/>
  <c r="B87" i="33" s="1"/>
  <c r="A969" i="2"/>
  <c r="B1" i="18" s="1"/>
  <c r="A970" i="2"/>
  <c r="B3" i="18" s="1"/>
  <c r="A971" i="2"/>
  <c r="B4" i="18" s="1"/>
  <c r="A972" i="2"/>
  <c r="B5" i="18" s="1"/>
  <c r="A973" i="2"/>
  <c r="B6" i="18" s="1"/>
  <c r="A974" i="2"/>
  <c r="B7" i="18" s="1"/>
  <c r="A975" i="2"/>
  <c r="B8" i="18" s="1"/>
  <c r="A976" i="2"/>
  <c r="B10" i="18" s="1"/>
  <c r="A977" i="2"/>
  <c r="B11" i="18" s="1"/>
  <c r="A978" i="2"/>
  <c r="B12" i="18" s="1"/>
  <c r="A979" i="2"/>
  <c r="B13" i="18" s="1"/>
  <c r="A980" i="2"/>
  <c r="B9" i="18" s="1"/>
  <c r="A981" i="2"/>
  <c r="B14" i="18" s="1"/>
  <c r="A982" i="2"/>
  <c r="B16" i="18" s="1"/>
  <c r="A983" i="2"/>
  <c r="B17" i="18" s="1"/>
  <c r="A984" i="2"/>
  <c r="B18" i="18" s="1"/>
  <c r="A985" i="2"/>
  <c r="B19" i="18" s="1"/>
  <c r="A986" i="2"/>
  <c r="B20" i="18" s="1"/>
  <c r="A987" i="2"/>
  <c r="B21" i="18" s="1"/>
  <c r="A992" i="2"/>
  <c r="B26" i="18" s="1"/>
  <c r="A993" i="2"/>
  <c r="B31" i="18" s="1"/>
  <c r="A994" i="2"/>
  <c r="B36" i="18" s="1"/>
  <c r="A995" i="2"/>
  <c r="B41" i="18" s="1"/>
  <c r="A996" i="2"/>
  <c r="B46" i="18" s="1"/>
  <c r="A997" i="2"/>
  <c r="B51" i="18" s="1"/>
  <c r="A998" i="2"/>
  <c r="B56" i="18" s="1"/>
  <c r="A999" i="2"/>
  <c r="B61" i="18" s="1"/>
  <c r="A1000" i="2"/>
  <c r="B66" i="18" s="1"/>
  <c r="A1001" i="2"/>
  <c r="B71" i="18" s="1"/>
  <c r="A1002" i="2"/>
  <c r="B76" i="18" s="1"/>
  <c r="A1003" i="2"/>
  <c r="B81" i="18" s="1"/>
  <c r="A1004" i="2"/>
  <c r="B86" i="18" s="1"/>
  <c r="A1005" i="2"/>
  <c r="B91" i="18" s="1"/>
  <c r="A1006" i="2"/>
  <c r="B96" i="18" s="1"/>
  <c r="A1007" i="2"/>
  <c r="B101" i="18" s="1"/>
  <c r="A1008" i="2"/>
  <c r="B106" i="18" s="1"/>
  <c r="A1010" i="2"/>
  <c r="B116" i="18" s="1"/>
  <c r="A1011" i="2"/>
  <c r="B121" i="18" s="1"/>
  <c r="A1012" i="2"/>
  <c r="B126" i="18" s="1"/>
  <c r="A1013" i="2"/>
  <c r="B131" i="18" s="1"/>
  <c r="A1014" i="2"/>
  <c r="B136" i="18" s="1"/>
  <c r="A1015" i="2"/>
  <c r="B138" i="18" s="1"/>
  <c r="A1016" i="2"/>
  <c r="B139" i="18" s="1"/>
  <c r="A1017" i="2"/>
  <c r="B140" i="18" s="1"/>
  <c r="A1018" i="2"/>
  <c r="B141" i="18" s="1"/>
  <c r="A1019" i="2"/>
  <c r="B142" i="18" s="1"/>
  <c r="A1020" i="2"/>
  <c r="B143" i="18" s="1"/>
  <c r="A1021" i="2"/>
  <c r="B144" i="18" s="1"/>
  <c r="A1022" i="2"/>
  <c r="B145" i="18" s="1"/>
  <c r="A1023" i="2"/>
  <c r="B146" i="18" s="1"/>
  <c r="A1024" i="2"/>
  <c r="B147" i="18" s="1"/>
  <c r="A1025" i="2"/>
  <c r="B148" i="18" s="1"/>
  <c r="A1026" i="2"/>
  <c r="B149" i="18" s="1"/>
  <c r="A1027" i="2"/>
  <c r="B150" i="18" s="1"/>
  <c r="A1028" i="2"/>
  <c r="B152" i="18" s="1"/>
  <c r="A1029" i="2"/>
  <c r="B153" i="18" s="1"/>
  <c r="A1030" i="2"/>
  <c r="B154" i="18" s="1"/>
  <c r="A1031" i="2"/>
  <c r="B155" i="18" s="1"/>
  <c r="A1032" i="2"/>
  <c r="B156" i="18" s="1"/>
  <c r="A1033" i="2"/>
  <c r="B157" i="18" s="1"/>
  <c r="A1034" i="2"/>
  <c r="B158" i="18" s="1"/>
  <c r="A1035" i="2"/>
  <c r="B159" i="18" s="1"/>
  <c r="A1036" i="2"/>
  <c r="B160" i="18" s="1"/>
  <c r="A1037" i="2"/>
  <c r="B161" i="18" s="1"/>
  <c r="A1038" i="2"/>
  <c r="B162" i="18" s="1"/>
  <c r="A1039" i="2"/>
  <c r="B163" i="18" s="1"/>
  <c r="A1040" i="2"/>
  <c r="B1" i="34" s="1"/>
  <c r="A1041" i="2"/>
  <c r="B3" i="34" s="1"/>
  <c r="A1042" i="2"/>
  <c r="B4" i="34" s="1"/>
  <c r="A1043" i="2"/>
  <c r="B5" i="34" s="1"/>
  <c r="A1044" i="2"/>
  <c r="B6" i="34" s="1"/>
  <c r="A1045" i="2"/>
  <c r="B7" i="34" s="1"/>
  <c r="A1046" i="2"/>
  <c r="B8" i="34" s="1"/>
  <c r="A1047" i="2"/>
  <c r="B9" i="34" s="1"/>
  <c r="A1048" i="2"/>
  <c r="B10" i="34" s="1"/>
  <c r="A1049" i="2"/>
  <c r="B11" i="34" s="1"/>
  <c r="A1050" i="2"/>
  <c r="B12" i="34" s="1"/>
  <c r="A1051" i="2"/>
  <c r="B13" i="34" s="1"/>
  <c r="A1052" i="2"/>
  <c r="B14" i="34" s="1"/>
  <c r="A1053" i="2"/>
  <c r="B15" i="34" s="1"/>
  <c r="A1054" i="2"/>
  <c r="B16" i="34" s="1"/>
  <c r="A1055" i="2"/>
  <c r="B17" i="34" s="1"/>
  <c r="A1056" i="2"/>
  <c r="B19" i="34" s="1"/>
  <c r="A1057" i="2"/>
  <c r="B20" i="34" s="1"/>
  <c r="A1058" i="2"/>
  <c r="B21" i="34" s="1"/>
  <c r="A1059" i="2"/>
  <c r="B22" i="34" s="1"/>
  <c r="A1060" i="2"/>
  <c r="B23" i="34" s="1"/>
  <c r="A1061" i="2"/>
  <c r="B24" i="34" s="1"/>
  <c r="A1062" i="2"/>
  <c r="B25" i="34" s="1"/>
  <c r="A1063" i="2"/>
  <c r="B26" i="34" s="1"/>
  <c r="A1064" i="2"/>
  <c r="B27" i="34" s="1"/>
  <c r="A1065" i="2"/>
  <c r="B28" i="34" s="1"/>
  <c r="A1066" i="2"/>
  <c r="B29" i="34" s="1"/>
  <c r="A1067" i="2"/>
  <c r="B30" i="34" s="1"/>
  <c r="A1068" i="2"/>
  <c r="B31" i="34" s="1"/>
  <c r="A1069" i="2"/>
  <c r="B33" i="34" s="1"/>
  <c r="A1070" i="2"/>
  <c r="B34" i="34" s="1"/>
  <c r="A1071" i="2"/>
  <c r="B35" i="34" s="1"/>
  <c r="A1072" i="2"/>
  <c r="B36" i="34" s="1"/>
  <c r="B16" i="27" s="1"/>
  <c r="A1073" i="2"/>
  <c r="B38" i="34" s="1"/>
  <c r="A1074" i="2"/>
  <c r="B39" i="34" s="1"/>
  <c r="A1075" i="2"/>
  <c r="B40" i="34" s="1"/>
  <c r="A1076" i="2"/>
  <c r="B41" i="34" s="1"/>
  <c r="B17" i="27" s="1"/>
  <c r="A1077" i="2"/>
  <c r="B42" i="34" s="1"/>
  <c r="A1078" i="2"/>
  <c r="B43" i="34" s="1"/>
  <c r="A1079" i="2"/>
  <c r="B44" i="34" s="1"/>
  <c r="A1080" i="2"/>
  <c r="B45" i="34" s="1"/>
  <c r="A1081" i="2"/>
  <c r="B46" i="34" s="1"/>
  <c r="A1082" i="2"/>
  <c r="B47" i="34" s="1"/>
  <c r="A1083" i="2"/>
  <c r="B48" i="34" s="1"/>
  <c r="A1084" i="2"/>
  <c r="B50" i="34" s="1"/>
  <c r="A1085" i="2"/>
  <c r="B51" i="34" s="1"/>
  <c r="A1086" i="2"/>
  <c r="B52" i="34" s="1"/>
  <c r="A1087" i="2"/>
  <c r="B53" i="34" s="1"/>
  <c r="B18" i="27" s="1"/>
  <c r="A1088" i="2"/>
  <c r="B54" i="34" s="1"/>
  <c r="A1089" i="2"/>
  <c r="B55" i="34" s="1"/>
  <c r="B19" i="27" s="1"/>
  <c r="A1090" i="2"/>
  <c r="B56" i="34" s="1"/>
  <c r="A1091" i="2"/>
  <c r="B57" i="34" s="1"/>
  <c r="A1092" i="2"/>
  <c r="B58" i="34" s="1"/>
  <c r="A1093" i="2"/>
  <c r="B59" i="34" s="1"/>
  <c r="A1094" i="2"/>
  <c r="B60" i="34" s="1"/>
  <c r="A1095" i="2"/>
  <c r="B61" i="34" s="1"/>
  <c r="A1096" i="2"/>
  <c r="B62" i="34" s="1"/>
  <c r="A1097" i="2"/>
  <c r="B64" i="34" s="1"/>
  <c r="A1098" i="2"/>
  <c r="B65" i="34" s="1"/>
  <c r="A1099" i="2"/>
  <c r="B66" i="34" s="1"/>
  <c r="A1100" i="2"/>
  <c r="B67" i="34" s="1"/>
  <c r="A1101" i="2"/>
  <c r="B68" i="34" s="1"/>
  <c r="B20" i="27" s="1"/>
  <c r="A1102" i="2"/>
  <c r="B69" i="34" s="1"/>
  <c r="A1103" i="2"/>
  <c r="B70" i="34" s="1"/>
  <c r="B21" i="27" s="1"/>
  <c r="A1104" i="2"/>
  <c r="B71" i="34" s="1"/>
  <c r="A1105" i="2"/>
  <c r="B72" i="34" s="1"/>
  <c r="A1106" i="2"/>
  <c r="B73" i="34" s="1"/>
  <c r="A1107" i="2"/>
  <c r="B74" i="34" s="1"/>
  <c r="A1108" i="2"/>
  <c r="B75" i="34" s="1"/>
  <c r="A1109" i="2"/>
  <c r="B76" i="34" s="1"/>
  <c r="A1110" i="2"/>
  <c r="B77" i="34" s="1"/>
  <c r="A1111" i="2"/>
  <c r="B1" i="36" s="1"/>
  <c r="A1112" i="2"/>
  <c r="B2" i="36" s="1"/>
  <c r="A1113" i="2"/>
  <c r="B3" i="36" s="1"/>
  <c r="A1114" i="2"/>
  <c r="B4" i="36" s="1"/>
  <c r="A1115" i="2"/>
  <c r="B5" i="36" s="1"/>
  <c r="B22" i="27" s="1"/>
  <c r="A1116" i="2"/>
  <c r="B6" i="36" s="1"/>
  <c r="A1117" i="2"/>
  <c r="B7" i="36" s="1"/>
  <c r="A1118" i="2"/>
  <c r="B8" i="36" s="1"/>
  <c r="A1119" i="2"/>
  <c r="B9" i="36" s="1"/>
  <c r="A1120" i="2"/>
  <c r="B10" i="36" s="1"/>
  <c r="A1121" i="2"/>
  <c r="B11" i="36" s="1"/>
  <c r="A1122" i="2"/>
  <c r="B12" i="36" s="1"/>
  <c r="A1123" i="2"/>
  <c r="B13" i="36" s="1"/>
  <c r="A1124" i="2"/>
  <c r="B14" i="36" s="1"/>
  <c r="A1125" i="2"/>
  <c r="B15" i="36" s="1"/>
  <c r="A1126" i="2"/>
  <c r="B16" i="36" s="1"/>
  <c r="A1127" i="2"/>
  <c r="B17" i="36" s="1"/>
  <c r="A1128" i="2"/>
  <c r="B19" i="36" s="1"/>
  <c r="A1129" i="2"/>
  <c r="B20" i="36" s="1"/>
  <c r="A1130" i="2"/>
  <c r="B21" i="36" s="1"/>
  <c r="A1131" i="2"/>
  <c r="B22" i="36" s="1"/>
  <c r="A1132" i="2"/>
  <c r="B23" i="36" s="1"/>
  <c r="A1133" i="2"/>
  <c r="B24" i="36" s="1"/>
  <c r="A1134" i="2"/>
  <c r="B25" i="36" s="1"/>
  <c r="A1135" i="2"/>
  <c r="B26" i="36" s="1"/>
  <c r="A1136" i="2"/>
  <c r="B27" i="36" s="1"/>
  <c r="A1137" i="2"/>
  <c r="B28" i="36" s="1"/>
  <c r="A1138" i="2"/>
  <c r="B29" i="36" s="1"/>
  <c r="B23" i="27" s="1"/>
  <c r="A1139" i="2"/>
  <c r="B30" i="36" s="1"/>
  <c r="B24" i="27" s="1"/>
  <c r="A1140" i="2"/>
  <c r="B31" i="36" s="1"/>
  <c r="A1141" i="2"/>
  <c r="B32" i="36" s="1"/>
  <c r="A1142" i="2"/>
  <c r="B33" i="36" s="1"/>
  <c r="A1143" i="2"/>
  <c r="B34" i="36" s="1"/>
  <c r="A1144" i="2"/>
  <c r="B35" i="36" s="1"/>
  <c r="A1145" i="2"/>
  <c r="B36" i="36" s="1"/>
  <c r="B25" i="27" s="1"/>
  <c r="A1146" i="2"/>
  <c r="B38" i="36" s="1"/>
  <c r="A1147" i="2"/>
  <c r="B39" i="36" s="1"/>
  <c r="A1148" i="2"/>
  <c r="B40" i="36" s="1"/>
  <c r="A1150" i="2"/>
  <c r="B42" i="36" s="1"/>
  <c r="A1151" i="2"/>
  <c r="B43" i="36" s="1"/>
  <c r="A1152" i="2"/>
  <c r="B44" i="36" s="1"/>
  <c r="A1153" i="2"/>
  <c r="B45" i="36" s="1"/>
  <c r="A1154" i="2"/>
  <c r="B46" i="36" s="1"/>
  <c r="A1155" i="2"/>
  <c r="B47" i="36" s="1"/>
  <c r="A1156" i="2"/>
  <c r="B48" i="36" s="1"/>
  <c r="A1157" i="2"/>
  <c r="B49" i="36" s="1"/>
  <c r="A1158" i="2"/>
  <c r="B50" i="36" s="1"/>
  <c r="A1159" i="2"/>
  <c r="B51" i="36" s="1"/>
  <c r="A1160" i="2"/>
  <c r="B52" i="36" s="1"/>
  <c r="A1161" i="2"/>
  <c r="B54" i="36" s="1"/>
  <c r="A1162" i="2"/>
  <c r="B55" i="36" s="1"/>
  <c r="A1163" i="2"/>
  <c r="B56" i="36" s="1"/>
  <c r="A1164" i="2"/>
  <c r="B57" i="36" s="1"/>
  <c r="A1165" i="2"/>
  <c r="B58" i="36" s="1"/>
  <c r="A1166" i="2"/>
  <c r="B59" i="36" s="1"/>
  <c r="A1167" i="2"/>
  <c r="B60" i="36" s="1"/>
  <c r="A1168" i="2"/>
  <c r="B61" i="36" s="1"/>
  <c r="A1169" i="2"/>
  <c r="B62" i="36" s="1"/>
  <c r="A1170" i="2"/>
  <c r="B63" i="36" s="1"/>
  <c r="A1171" i="2"/>
  <c r="B64" i="36" s="1"/>
  <c r="A1172" i="2"/>
  <c r="B65" i="36" s="1"/>
  <c r="A1173" i="2"/>
  <c r="B66" i="36" s="1"/>
  <c r="A1174" i="2"/>
  <c r="B67" i="36" s="1"/>
  <c r="A1175" i="2"/>
  <c r="B68" i="36" s="1"/>
  <c r="A1176" i="2"/>
  <c r="B69" i="36" s="1"/>
  <c r="A1177" i="2"/>
  <c r="B70" i="36" s="1"/>
  <c r="A1178" i="2"/>
  <c r="B71" i="36" s="1"/>
  <c r="A1179" i="2"/>
  <c r="B72" i="36" s="1"/>
  <c r="A1180" i="2"/>
  <c r="B73" i="36" s="1"/>
  <c r="A1181" i="2"/>
  <c r="B74" i="36" s="1"/>
  <c r="A1182" i="2"/>
  <c r="B75" i="36" s="1"/>
  <c r="A1183" i="2"/>
  <c r="B1" i="5" s="1"/>
  <c r="A1184" i="2"/>
  <c r="B2" i="5" s="1"/>
  <c r="A1185" i="2"/>
  <c r="B3" i="5" s="1"/>
  <c r="A1187" i="2"/>
  <c r="B5" i="5" s="1"/>
  <c r="A1188" i="2"/>
  <c r="B6" i="5" s="1"/>
  <c r="A1189" i="2"/>
  <c r="B7" i="5" s="1"/>
  <c r="B26" i="27" s="1"/>
  <c r="A1190" i="2"/>
  <c r="B8" i="5" s="1"/>
  <c r="B27" i="27" s="1"/>
  <c r="A1191" i="2"/>
  <c r="B9" i="5" s="1"/>
  <c r="B28" i="27" s="1"/>
  <c r="A1192" i="2"/>
  <c r="B10" i="5" s="1"/>
  <c r="A1193" i="2"/>
  <c r="B11" i="5" s="1"/>
  <c r="A1194" i="2"/>
  <c r="B12" i="5" s="1"/>
  <c r="B29" i="27" s="1"/>
  <c r="A1195" i="2"/>
  <c r="B13" i="5" s="1"/>
  <c r="A1196" i="2"/>
  <c r="B14" i="5" s="1"/>
  <c r="A1197" i="2"/>
  <c r="B16" i="5" s="1"/>
  <c r="A1198" i="2"/>
  <c r="B17" i="5" s="1"/>
  <c r="A1199" i="2"/>
  <c r="B18" i="5" s="1"/>
  <c r="A1200" i="2"/>
  <c r="B19" i="5" s="1"/>
  <c r="A1201" i="2"/>
  <c r="B20" i="5" s="1"/>
  <c r="A1202" i="2"/>
  <c r="B21" i="5" s="1"/>
  <c r="A1203" i="2"/>
  <c r="B22" i="5" s="1"/>
  <c r="A1204" i="2"/>
  <c r="B23" i="5" s="1"/>
  <c r="A1205" i="2"/>
  <c r="B24" i="5" s="1"/>
  <c r="A1206" i="2"/>
  <c r="B25" i="5" s="1"/>
  <c r="A1207" i="2"/>
  <c r="B26" i="5" s="1"/>
  <c r="A1208" i="2"/>
  <c r="B27" i="5" s="1"/>
  <c r="A1209" i="2"/>
  <c r="B28" i="5" s="1"/>
  <c r="A1210" i="2"/>
  <c r="B29" i="5" s="1"/>
  <c r="A1211" i="2"/>
  <c r="B30" i="5" s="1"/>
  <c r="A1212" i="2"/>
  <c r="B31" i="5" s="1"/>
  <c r="A1213" i="2"/>
  <c r="B32" i="5" s="1"/>
  <c r="A1214" i="2"/>
  <c r="B33" i="5" s="1"/>
  <c r="A1215" i="2"/>
  <c r="B34" i="5" s="1"/>
  <c r="A1216" i="2"/>
  <c r="B35" i="5" s="1"/>
  <c r="A1217" i="2"/>
  <c r="B36" i="5" s="1"/>
  <c r="A1218" i="2"/>
  <c r="B37" i="5" s="1"/>
  <c r="B30" i="27" s="1"/>
  <c r="A1219" i="2"/>
  <c r="B38" i="5" s="1"/>
  <c r="A1220" i="2"/>
  <c r="B39" i="5" s="1"/>
  <c r="B123" i="27" s="1"/>
  <c r="A1221" i="2"/>
  <c r="B40" i="5" s="1"/>
  <c r="A1222" i="2"/>
  <c r="B41" i="5" s="1"/>
  <c r="A1223" i="2"/>
  <c r="B42" i="5" s="1"/>
  <c r="A1224" i="2"/>
  <c r="B43" i="5" s="1"/>
  <c r="A1225" i="2"/>
  <c r="B44" i="5" s="1"/>
  <c r="A1226" i="2"/>
  <c r="B45" i="5" s="1"/>
  <c r="A1227" i="2"/>
  <c r="B46" i="5" s="1"/>
  <c r="A1228" i="2"/>
  <c r="B47" i="5" s="1"/>
  <c r="A1229" i="2"/>
  <c r="B48" i="5" s="1"/>
  <c r="A1230" i="2"/>
  <c r="B49" i="5" s="1"/>
  <c r="A1231" i="2"/>
  <c r="B50" i="5" s="1"/>
  <c r="A1232" i="2"/>
  <c r="B51" i="5" s="1"/>
  <c r="A1233" i="2"/>
  <c r="B52" i="5" s="1"/>
  <c r="B31" i="27" s="1"/>
  <c r="A1234" i="2"/>
  <c r="B53" i="5" s="1"/>
  <c r="A1235" i="2"/>
  <c r="B54" i="5" s="1"/>
  <c r="A1236" i="2"/>
  <c r="B55" i="5" s="1"/>
  <c r="A1237" i="2"/>
  <c r="B56" i="5" s="1"/>
  <c r="A1238" i="2"/>
  <c r="B1" i="8" s="1"/>
  <c r="A1239" i="2"/>
  <c r="B2" i="8" s="1"/>
  <c r="A1240" i="2"/>
  <c r="B3" i="8" s="1"/>
  <c r="A1241" i="2"/>
  <c r="B4" i="8" s="1"/>
  <c r="A1242" i="2"/>
  <c r="B5" i="8" s="1"/>
  <c r="A1243" i="2"/>
  <c r="B7" i="8" s="1"/>
  <c r="A1244" i="2"/>
  <c r="B10" i="8" s="1"/>
  <c r="A1245" i="2"/>
  <c r="B11" i="8" s="1"/>
  <c r="A1252" i="2"/>
  <c r="B18" i="8" s="1"/>
  <c r="B32" i="27" s="1"/>
  <c r="A1253" i="2"/>
  <c r="B19" i="8" s="1"/>
  <c r="A1254" i="2"/>
  <c r="B20" i="8" s="1"/>
  <c r="A1255" i="2"/>
  <c r="B27" i="8" s="1"/>
  <c r="A1256" i="2"/>
  <c r="B28" i="8" s="1"/>
  <c r="A1257" i="2"/>
  <c r="B29" i="8" s="1"/>
  <c r="B33" i="27" s="1"/>
  <c r="A1258" i="2"/>
  <c r="B30" i="8" s="1"/>
  <c r="A1259" i="2"/>
  <c r="B32" i="8" s="1"/>
  <c r="A1260" i="2"/>
  <c r="B33" i="8" s="1"/>
  <c r="A1261" i="2"/>
  <c r="B40" i="8" s="1"/>
  <c r="A1262" i="2"/>
  <c r="B41" i="8" s="1"/>
  <c r="A1263" i="2"/>
  <c r="B42" i="8" s="1"/>
  <c r="A1264" i="2"/>
  <c r="B49" i="8" s="1"/>
  <c r="A1265" i="2"/>
  <c r="B57" i="8" s="1"/>
  <c r="A1266" i="2"/>
  <c r="B58" i="8" s="1"/>
  <c r="A1267" i="2"/>
  <c r="B65" i="8" s="1"/>
  <c r="A1268" i="2"/>
  <c r="B72" i="8" s="1"/>
  <c r="A1269" i="2"/>
  <c r="B79" i="8" s="1"/>
  <c r="B34" i="27" s="1"/>
  <c r="A1270" i="2"/>
  <c r="B80" i="8" s="1"/>
  <c r="A1271" i="2"/>
  <c r="B87" i="8" s="1"/>
  <c r="A1272" i="2"/>
  <c r="B88" i="8" s="1"/>
  <c r="A1273" i="2"/>
  <c r="B95" i="8" s="1"/>
  <c r="A1274" i="2"/>
  <c r="B102" i="8" s="1"/>
  <c r="A1281" i="2"/>
  <c r="B109" i="8" s="1"/>
  <c r="A1282" i="2"/>
  <c r="B116" i="8" s="1"/>
  <c r="A1283" i="2"/>
  <c r="B123" i="8" s="1"/>
  <c r="A1284" i="2"/>
  <c r="B130" i="8" s="1"/>
  <c r="A1285" i="2"/>
  <c r="B137" i="8" s="1"/>
  <c r="A1286" i="2"/>
  <c r="B144" i="8" s="1"/>
  <c r="A1287" i="2"/>
  <c r="B152" i="8" s="1"/>
  <c r="A1288" i="2"/>
  <c r="B153" i="8" s="1"/>
  <c r="A1289" i="2"/>
  <c r="B160" i="8" s="1"/>
  <c r="A1290" i="2"/>
  <c r="B168" i="8" s="1"/>
  <c r="A1291" i="2"/>
  <c r="B169" i="8" s="1"/>
  <c r="A1292" i="2"/>
  <c r="B176" i="8" s="1"/>
  <c r="A1293" i="2"/>
  <c r="B183" i="8" s="1"/>
  <c r="A1294" i="2"/>
  <c r="B190" i="8" s="1"/>
  <c r="A1295" i="2"/>
  <c r="B197" i="8" s="1"/>
  <c r="A1296" i="2"/>
  <c r="B205" i="8" s="1"/>
  <c r="A1297" i="2"/>
  <c r="B206" i="8" s="1"/>
  <c r="A1298" i="2"/>
  <c r="B208" i="8" s="1"/>
  <c r="A1299" i="2"/>
  <c r="B209" i="8" s="1"/>
  <c r="A1300" i="2"/>
  <c r="B210" i="8" s="1"/>
  <c r="A1301" i="2"/>
  <c r="B211" i="8" s="1"/>
  <c r="A1302" i="2"/>
  <c r="B212" i="8" s="1"/>
  <c r="A1303" i="2"/>
  <c r="B207" i="8" s="1"/>
  <c r="A1304" i="2"/>
  <c r="B213" i="8" s="1"/>
  <c r="A1305" i="2"/>
  <c r="B214" i="8" s="1"/>
  <c r="A1306" i="2"/>
  <c r="B215" i="8" s="1"/>
  <c r="A1307" i="2"/>
  <c r="B216" i="8" s="1"/>
  <c r="A1308" i="2"/>
  <c r="B217" i="8" s="1"/>
  <c r="A1309" i="2"/>
  <c r="B218" i="8" s="1"/>
  <c r="B35" i="27" s="1"/>
  <c r="A1310" i="2"/>
  <c r="B220" i="8" s="1"/>
  <c r="A1311" i="2"/>
  <c r="B221" i="8" s="1"/>
  <c r="A1312" i="2"/>
  <c r="B223" i="8" s="1"/>
  <c r="A1313" i="2"/>
  <c r="B224" i="8" s="1"/>
  <c r="A1314" i="2"/>
  <c r="B225" i="8" s="1"/>
  <c r="A1315" i="2"/>
  <c r="B226" i="8" s="1"/>
  <c r="A1316" i="2"/>
  <c r="B227" i="8" s="1"/>
  <c r="A1317" i="2"/>
  <c r="B222" i="8" s="1"/>
  <c r="A1318" i="2"/>
  <c r="B228" i="8" s="1"/>
  <c r="A1319" i="2"/>
  <c r="B229" i="8" s="1"/>
  <c r="A1320" i="2"/>
  <c r="B230" i="8" s="1"/>
  <c r="A1321" i="2"/>
  <c r="B231" i="8" s="1"/>
  <c r="A1322" i="2"/>
  <c r="B232" i="8" s="1"/>
  <c r="B36" i="27" s="1"/>
  <c r="A1323" i="2"/>
  <c r="B234" i="8" s="1"/>
  <c r="A1324" i="2"/>
  <c r="B235" i="8" s="1"/>
  <c r="A1325" i="2"/>
  <c r="B236" i="8" s="1"/>
  <c r="A1326" i="2"/>
  <c r="B237" i="8" s="1"/>
  <c r="A1327" i="2"/>
  <c r="B238" i="8" s="1"/>
  <c r="A1328" i="2"/>
  <c r="B239" i="8" s="1"/>
  <c r="A1329" i="2"/>
  <c r="B240" i="8" s="1"/>
  <c r="A1330" i="2"/>
  <c r="B241" i="8" s="1"/>
  <c r="A1331" i="2"/>
  <c r="B242" i="8" s="1"/>
  <c r="A1332" i="2"/>
  <c r="B243" i="8" s="1"/>
  <c r="A1333" i="2"/>
  <c r="B244" i="8" s="1"/>
  <c r="A1334" i="2"/>
  <c r="H4" i="8" s="1"/>
  <c r="A1335" i="2"/>
  <c r="H5" i="8" s="1"/>
  <c r="A1336" i="2"/>
  <c r="H6" i="8" s="1"/>
  <c r="A1337" i="2"/>
  <c r="H7" i="8" s="1"/>
  <c r="A1338" i="2"/>
  <c r="H8" i="8" s="1"/>
  <c r="A1339" i="2"/>
  <c r="B1" i="24" s="1"/>
  <c r="A1340" i="2"/>
  <c r="B2" i="24" s="1"/>
  <c r="A1341" i="2"/>
  <c r="B3" i="24" s="1"/>
  <c r="A1342" i="2"/>
  <c r="B4" i="24" s="1"/>
  <c r="A1343" i="2"/>
  <c r="B5" i="24" s="1"/>
  <c r="A1344" i="2"/>
  <c r="B6" i="24" s="1"/>
  <c r="A1345" i="2"/>
  <c r="B7" i="24" s="1"/>
  <c r="A1346" i="2"/>
  <c r="B8" i="24" s="1"/>
  <c r="A1347" i="2"/>
  <c r="B9" i="24" s="1"/>
  <c r="A1348" i="2"/>
  <c r="B10" i="24" s="1"/>
  <c r="A1349" i="2"/>
  <c r="B11" i="24" s="1"/>
  <c r="A1350" i="2"/>
  <c r="B12" i="24" s="1"/>
  <c r="A1351" i="2"/>
  <c r="B13" i="24" s="1"/>
  <c r="A1352" i="2"/>
  <c r="B15" i="24" s="1"/>
  <c r="A1353" i="2"/>
  <c r="B16" i="24" s="1"/>
  <c r="A1354" i="2"/>
  <c r="B17" i="24" s="1"/>
  <c r="A1355" i="2"/>
  <c r="B18" i="24" s="1"/>
  <c r="A1356" i="2"/>
  <c r="B19" i="24" s="1"/>
  <c r="A1357" i="2"/>
  <c r="B20" i="24" s="1"/>
  <c r="B37" i="27" s="1"/>
  <c r="A1358" i="2"/>
  <c r="B21" i="24" s="1"/>
  <c r="A1359" i="2"/>
  <c r="B22" i="24" s="1"/>
  <c r="A1360" i="2"/>
  <c r="B23" i="24" s="1"/>
  <c r="A1361" i="2"/>
  <c r="B24" i="24" s="1"/>
  <c r="A1362" i="2"/>
  <c r="B25" i="24" s="1"/>
  <c r="A1363" i="2"/>
  <c r="B26" i="24" s="1"/>
  <c r="A1364" i="2"/>
  <c r="B27" i="24" s="1"/>
  <c r="A1365" i="2"/>
  <c r="B28" i="24" s="1"/>
  <c r="A1366" i="2"/>
  <c r="B29" i="24" s="1"/>
  <c r="A1367" i="2"/>
  <c r="B30" i="24" s="1"/>
  <c r="A1368" i="2"/>
  <c r="B31" i="24" s="1"/>
  <c r="A1369" i="2"/>
  <c r="B32" i="24" s="1"/>
  <c r="A1370" i="2"/>
  <c r="B33" i="24" s="1"/>
  <c r="A1371" i="2"/>
  <c r="B34" i="24" s="1"/>
  <c r="A1372" i="2"/>
  <c r="B35" i="24" s="1"/>
  <c r="A1373" i="2"/>
  <c r="B36" i="24" s="1"/>
  <c r="A1374" i="2"/>
  <c r="B37" i="24" s="1"/>
  <c r="A1375" i="2"/>
  <c r="B38" i="24" s="1"/>
  <c r="A1376" i="2"/>
  <c r="B39" i="24" s="1"/>
  <c r="A1377" i="2"/>
  <c r="B40" i="24" s="1"/>
  <c r="A1378" i="2"/>
  <c r="B41" i="24" s="1"/>
  <c r="A1379" i="2"/>
  <c r="B42" i="24" s="1"/>
  <c r="A1380" i="2"/>
  <c r="B43" i="24" s="1"/>
  <c r="A1381" i="2"/>
  <c r="B44" i="24" s="1"/>
  <c r="A1382" i="2"/>
  <c r="B45" i="24" s="1"/>
  <c r="A1383" i="2"/>
  <c r="B46" i="24" s="1"/>
  <c r="A1384" i="2"/>
  <c r="B47" i="24" s="1"/>
  <c r="A1385" i="2"/>
  <c r="B48" i="24" s="1"/>
  <c r="A1386" i="2"/>
  <c r="B49" i="24" s="1"/>
  <c r="A1387" i="2"/>
  <c r="B50" i="24" s="1"/>
  <c r="A1388" i="2"/>
  <c r="B51" i="24" s="1"/>
  <c r="A1389" i="2"/>
  <c r="B52" i="24" s="1"/>
  <c r="A1390" i="2"/>
  <c r="B53" i="24" s="1"/>
  <c r="A1391" i="2"/>
  <c r="B54" i="24" s="1"/>
  <c r="A1392" i="2"/>
  <c r="B55" i="24" s="1"/>
  <c r="A1393" i="2"/>
  <c r="B56" i="24" s="1"/>
  <c r="A1394" i="2"/>
  <c r="B57" i="24" s="1"/>
  <c r="A1395" i="2"/>
  <c r="B58" i="24" s="1"/>
  <c r="A1396" i="2"/>
  <c r="B59" i="24" s="1"/>
  <c r="A1397" i="2"/>
  <c r="B60" i="24" s="1"/>
  <c r="A1398" i="2"/>
  <c r="B61" i="24" s="1"/>
  <c r="A1399" i="2"/>
  <c r="B62" i="24" s="1"/>
  <c r="A1400" i="2"/>
  <c r="B64" i="24" s="1"/>
  <c r="A1401" i="2"/>
  <c r="B65" i="24" s="1"/>
  <c r="B38" i="27" s="1"/>
  <c r="A1402" i="2"/>
  <c r="B66" i="24" s="1"/>
  <c r="A1403" i="2"/>
  <c r="B67" i="24" s="1"/>
  <c r="B124" i="27" s="1"/>
  <c r="A1404" i="2"/>
  <c r="B69" i="24" s="1"/>
  <c r="A1405" i="2"/>
  <c r="B68" i="24" s="1"/>
  <c r="A1406" i="2"/>
  <c r="B70" i="24" s="1"/>
  <c r="A1407" i="2"/>
  <c r="B71" i="24" s="1"/>
  <c r="B125" i="27" s="1"/>
  <c r="A1408" i="2"/>
  <c r="B72" i="24" s="1"/>
  <c r="A1409" i="2"/>
  <c r="B73" i="24" s="1"/>
  <c r="A1410" i="2"/>
  <c r="B74" i="24" s="1"/>
  <c r="A1411" i="2"/>
  <c r="B75" i="24" s="1"/>
  <c r="A1412" i="2"/>
  <c r="B76" i="24" s="1"/>
  <c r="B39" i="27" s="1"/>
  <c r="A1413" i="2"/>
  <c r="B77" i="24" s="1"/>
  <c r="A1414" i="2"/>
  <c r="B78" i="24" s="1"/>
  <c r="A1415" i="2"/>
  <c r="B79" i="24" s="1"/>
  <c r="B126" i="27" s="1"/>
  <c r="A1416" i="2"/>
  <c r="B80" i="24" s="1"/>
  <c r="A1417" i="2"/>
  <c r="B82" i="24" s="1"/>
  <c r="A1418" i="2"/>
  <c r="B83" i="24" s="1"/>
  <c r="A1419" i="2"/>
  <c r="B84" i="24" s="1"/>
  <c r="A1420" i="2"/>
  <c r="B85" i="24" s="1"/>
  <c r="A1421" i="2"/>
  <c r="B86" i="24" s="1"/>
  <c r="A1422" i="2"/>
  <c r="B87" i="24" s="1"/>
  <c r="A1423" i="2"/>
  <c r="B88" i="24" s="1"/>
  <c r="B150" i="27" s="1"/>
  <c r="A1424" i="2"/>
  <c r="B89" i="24" s="1"/>
  <c r="A1425" i="2"/>
  <c r="B90" i="24" s="1"/>
  <c r="A1426" i="2"/>
  <c r="B91" i="24" s="1"/>
  <c r="B127" i="27" s="1"/>
  <c r="A1427" i="2"/>
  <c r="B92" i="24" s="1"/>
  <c r="A1428" i="2"/>
  <c r="B93" i="24" s="1"/>
  <c r="B40" i="27" s="1"/>
  <c r="A1429" i="2"/>
  <c r="B94" i="24" s="1"/>
  <c r="B41" i="27" s="1"/>
  <c r="A1430" i="2"/>
  <c r="B95" i="24" s="1"/>
  <c r="B42" i="27" s="1"/>
  <c r="A1431" i="2"/>
  <c r="B1" i="25" s="1"/>
  <c r="A1432" i="2"/>
  <c r="B2" i="25" s="1"/>
  <c r="A1433" i="2"/>
  <c r="B3" i="25" s="1"/>
  <c r="A1434" i="2"/>
  <c r="B4" i="25" s="1"/>
  <c r="B43" i="27" s="1"/>
  <c r="A1436" i="2"/>
  <c r="B6" i="25" s="1"/>
  <c r="B44" i="27" s="1"/>
  <c r="A1437" i="2"/>
  <c r="B7" i="25" s="1"/>
  <c r="B45" i="27" s="1"/>
  <c r="A1438" i="2"/>
  <c r="B8" i="25" s="1"/>
  <c r="B46" i="27" s="1"/>
  <c r="A1439" i="2"/>
  <c r="B9" i="25" s="1"/>
  <c r="B47" i="27" s="1"/>
  <c r="A1440" i="2"/>
  <c r="B10" i="25" s="1"/>
  <c r="B48" i="27" s="1"/>
  <c r="A1441" i="2"/>
  <c r="B11" i="25" s="1"/>
  <c r="B49" i="27" s="1"/>
  <c r="A1443" i="2"/>
  <c r="B13" i="25" s="1"/>
  <c r="A1445" i="2"/>
  <c r="B15" i="25" s="1"/>
  <c r="A1450" i="2"/>
  <c r="B20" i="25" s="1"/>
  <c r="A1451" i="2"/>
  <c r="B21" i="25" s="1"/>
  <c r="A1452" i="2"/>
  <c r="B22" i="25" s="1"/>
  <c r="A1453" i="2"/>
  <c r="B23" i="25" s="1"/>
  <c r="A1454" i="2"/>
  <c r="B24" i="25" s="1"/>
  <c r="A1455" i="2"/>
  <c r="B25" i="25" s="1"/>
  <c r="A1456" i="2"/>
  <c r="B26" i="25" s="1"/>
  <c r="A1457" i="2"/>
  <c r="B27" i="25" s="1"/>
  <c r="A1458" i="2"/>
  <c r="B28" i="25" s="1"/>
  <c r="A1459" i="2"/>
  <c r="B29" i="25" s="1"/>
  <c r="A1460" i="2"/>
  <c r="B30" i="25" s="1"/>
  <c r="A1461" i="2"/>
  <c r="B31" i="25" s="1"/>
  <c r="A1462" i="2"/>
  <c r="B32" i="25" s="1"/>
  <c r="A1463" i="2"/>
  <c r="B33" i="25" s="1"/>
  <c r="A1464" i="2"/>
  <c r="B34" i="25" s="1"/>
  <c r="A1465" i="2"/>
  <c r="B35" i="25" s="1"/>
  <c r="A1466" i="2"/>
  <c r="B36" i="25" s="1"/>
  <c r="A1467" i="2"/>
  <c r="B37" i="25" s="1"/>
  <c r="A1468" i="2"/>
  <c r="B38" i="25" s="1"/>
  <c r="A1469" i="2"/>
  <c r="B39" i="25" s="1"/>
  <c r="A1470" i="2"/>
  <c r="B41" i="25" s="1"/>
  <c r="A1471" i="2"/>
  <c r="B42" i="25" s="1"/>
  <c r="A1472" i="2"/>
  <c r="B43" i="25" s="1"/>
  <c r="B50" i="27" s="1"/>
  <c r="A1473" i="2"/>
  <c r="B44" i="25" s="1"/>
  <c r="B51" i="27" s="1"/>
  <c r="A1474" i="2"/>
  <c r="B45" i="25" s="1"/>
  <c r="A1475" i="2"/>
  <c r="B46" i="25" s="1"/>
  <c r="A1476" i="2"/>
  <c r="B47" i="25" s="1"/>
  <c r="A1477" i="2"/>
  <c r="B48" i="25" s="1"/>
  <c r="A1478" i="2"/>
  <c r="B49" i="25" s="1"/>
  <c r="A1479" i="2"/>
  <c r="B50" i="25" s="1"/>
  <c r="A1480" i="2"/>
  <c r="B51" i="25" s="1"/>
  <c r="A1481" i="2"/>
  <c r="B52" i="25" s="1"/>
  <c r="A1482" i="2"/>
  <c r="B53" i="25" s="1"/>
  <c r="A1483" i="2"/>
  <c r="B55" i="25" s="1"/>
  <c r="A1484" i="2"/>
  <c r="B56" i="25" s="1"/>
  <c r="B52" i="27" s="1"/>
  <c r="A1485" i="2"/>
  <c r="B57" i="25" s="1"/>
  <c r="A1486" i="2"/>
  <c r="B58" i="25" s="1"/>
  <c r="A1487" i="2"/>
  <c r="B59" i="25" s="1"/>
  <c r="A1488" i="2"/>
  <c r="B60" i="25" s="1"/>
  <c r="B53" i="27" s="1"/>
  <c r="A1489" i="2"/>
  <c r="B61" i="25" s="1"/>
  <c r="B54" i="27" s="1"/>
  <c r="A1490" i="2"/>
  <c r="B62" i="25" s="1"/>
  <c r="A1491" i="2"/>
  <c r="B63" i="25" s="1"/>
  <c r="A1492" i="2"/>
  <c r="B64" i="25" s="1"/>
  <c r="A1493" i="2"/>
  <c r="B65" i="25" s="1"/>
  <c r="A1494" i="2"/>
  <c r="B66" i="25" s="1"/>
  <c r="A1495" i="2"/>
  <c r="B67" i="25" s="1"/>
  <c r="A1496" i="2"/>
  <c r="B68" i="25" s="1"/>
  <c r="A1497" i="2"/>
  <c r="B69" i="25" s="1"/>
  <c r="A1498" i="2"/>
  <c r="B70" i="25" s="1"/>
  <c r="A1499" i="2"/>
  <c r="B71" i="25" s="1"/>
  <c r="A1500" i="2"/>
  <c r="B72" i="25" s="1"/>
  <c r="A1501" i="2"/>
  <c r="B74" i="25" s="1"/>
  <c r="A1502" i="2"/>
  <c r="A1503" i="2"/>
  <c r="B76" i="25" s="1"/>
  <c r="B55" i="27" s="1"/>
  <c r="A1504" i="2"/>
  <c r="B77" i="25" s="1"/>
  <c r="B56" i="27" s="1"/>
  <c r="A1505" i="2"/>
  <c r="B78" i="25" s="1"/>
  <c r="B57" i="27" s="1"/>
  <c r="A1506" i="2"/>
  <c r="B79" i="25" s="1"/>
  <c r="B58" i="27" s="1"/>
  <c r="A1507" i="2"/>
  <c r="B80" i="25" s="1"/>
  <c r="B59" i="27" s="1"/>
  <c r="A1508" i="2"/>
  <c r="B81" i="25" s="1"/>
  <c r="A1509" i="2"/>
  <c r="B82" i="25" s="1"/>
  <c r="A1510" i="2"/>
  <c r="B83" i="25" s="1"/>
  <c r="A1511" i="2"/>
  <c r="B84" i="25" s="1"/>
  <c r="A1512" i="2"/>
  <c r="B85" i="25" s="1"/>
  <c r="A1513" i="2"/>
  <c r="B86" i="25" s="1"/>
  <c r="A1514" i="2"/>
  <c r="B87" i="25" s="1"/>
  <c r="A1515" i="2"/>
  <c r="B88" i="25" s="1"/>
  <c r="A1516" i="2"/>
  <c r="B89" i="25" s="1"/>
  <c r="A1517" i="2"/>
  <c r="B90" i="25" s="1"/>
  <c r="A1518" i="2"/>
  <c r="B91" i="25" s="1"/>
  <c r="A1519" i="2"/>
  <c r="B92" i="25" s="1"/>
  <c r="A1520" i="2"/>
  <c r="B93" i="25" s="1"/>
  <c r="A1521" i="2"/>
  <c r="B94" i="25" s="1"/>
  <c r="A1522" i="2"/>
  <c r="B95" i="25" s="1"/>
  <c r="B128" i="27" s="1"/>
  <c r="A1523" i="2"/>
  <c r="B96" i="25" s="1"/>
  <c r="A1524" i="2"/>
  <c r="B98" i="25" s="1"/>
  <c r="A1525" i="2"/>
  <c r="B99" i="25" s="1"/>
  <c r="A1526" i="2"/>
  <c r="B100" i="25" s="1"/>
  <c r="A1527" i="2"/>
  <c r="B101" i="25" s="1"/>
  <c r="A1528" i="2"/>
  <c r="B102" i="25" s="1"/>
  <c r="B60" i="27" s="1"/>
  <c r="A1529" i="2"/>
  <c r="B103" i="25" s="1"/>
  <c r="B61" i="27" s="1"/>
  <c r="A1530" i="2"/>
  <c r="B104" i="25" s="1"/>
  <c r="A1531" i="2"/>
  <c r="B105" i="25" s="1"/>
  <c r="B62" i="27" s="1"/>
  <c r="A1532" i="2"/>
  <c r="B106" i="25" s="1"/>
  <c r="B63" i="27" s="1"/>
  <c r="A1533" i="2"/>
  <c r="B107" i="25" s="1"/>
  <c r="A1534" i="2"/>
  <c r="B108" i="25" s="1"/>
  <c r="A1535" i="2"/>
  <c r="B109" i="25" s="1"/>
  <c r="A1536" i="2"/>
  <c r="B110" i="25" s="1"/>
  <c r="A1537" i="2"/>
  <c r="B111" i="25" s="1"/>
  <c r="B64" i="27" s="1"/>
  <c r="A1538" i="2"/>
  <c r="B113" i="25" s="1"/>
  <c r="A1539" i="2"/>
  <c r="B114" i="25" s="1"/>
  <c r="A1540" i="2"/>
  <c r="B115" i="25" s="1"/>
  <c r="A1541" i="2"/>
  <c r="B116" i="25" s="1"/>
  <c r="A1542" i="2"/>
  <c r="B117" i="25" s="1"/>
  <c r="A1543" i="2"/>
  <c r="B118" i="25" s="1"/>
  <c r="A1544" i="2"/>
  <c r="B119" i="25" s="1"/>
  <c r="A1545" i="2"/>
  <c r="B120" i="25" s="1"/>
  <c r="A1546" i="2"/>
  <c r="B121" i="25" s="1"/>
  <c r="A1547" i="2"/>
  <c r="B122" i="25" s="1"/>
  <c r="A1548" i="2"/>
  <c r="B123" i="25" s="1"/>
  <c r="A1549" i="2"/>
  <c r="B124" i="25" s="1"/>
  <c r="B65" i="27" s="1"/>
  <c r="A1550" i="2"/>
  <c r="B125" i="25" s="1"/>
  <c r="B66" i="27" s="1"/>
  <c r="A1551" i="2"/>
  <c r="B126" i="25" s="1"/>
  <c r="B67" i="27" s="1"/>
  <c r="A1552" i="2"/>
  <c r="B127" i="25" s="1"/>
  <c r="B68" i="27" s="1"/>
  <c r="A1553" i="2"/>
  <c r="B128" i="25" s="1"/>
  <c r="B69" i="27" s="1"/>
  <c r="A1554" i="2"/>
  <c r="B129" i="25" s="1"/>
  <c r="B70" i="27" s="1"/>
  <c r="A1555" i="2"/>
  <c r="B130" i="25" s="1"/>
  <c r="B71" i="27" s="1"/>
  <c r="A1556" i="2"/>
  <c r="B131" i="25" s="1"/>
  <c r="B72" i="27" s="1"/>
  <c r="A1557" i="2"/>
  <c r="B132" i="25" s="1"/>
  <c r="B73" i="27" s="1"/>
  <c r="A1558" i="2"/>
  <c r="B133" i="25" s="1"/>
  <c r="B74" i="27" s="1"/>
  <c r="A1559" i="2"/>
  <c r="B134" i="25" s="1"/>
  <c r="B75" i="27" s="1"/>
  <c r="A1560" i="2"/>
  <c r="B135" i="25" s="1"/>
  <c r="A1561" i="2"/>
  <c r="B136" i="25" s="1"/>
  <c r="A1562" i="2"/>
  <c r="B137" i="25" s="1"/>
  <c r="A1563" i="2"/>
  <c r="B138" i="25" s="1"/>
  <c r="A1564" i="2"/>
  <c r="B139" i="25" s="1"/>
  <c r="A1565" i="2"/>
  <c r="B140" i="25" s="1"/>
  <c r="B76" i="27" s="1"/>
  <c r="A1566" i="2"/>
  <c r="B142" i="25" s="1"/>
  <c r="A1567" i="2"/>
  <c r="B143" i="25" s="1"/>
  <c r="A1568" i="2"/>
  <c r="B144" i="25" s="1"/>
  <c r="A1569" i="2"/>
  <c r="B145" i="25" s="1"/>
  <c r="A1570" i="2"/>
  <c r="B146" i="25" s="1"/>
  <c r="A1571" i="2"/>
  <c r="B147" i="25" s="1"/>
  <c r="A1572" i="2"/>
  <c r="B148" i="25" s="1"/>
  <c r="B77" i="27" s="1"/>
  <c r="A1573" i="2"/>
  <c r="B150" i="25" s="1"/>
  <c r="A1574" i="2"/>
  <c r="B151" i="25" s="1"/>
  <c r="B78" i="27" s="1"/>
  <c r="A1575" i="2"/>
  <c r="B152" i="25" s="1"/>
  <c r="A1576" i="2"/>
  <c r="B153" i="25" s="1"/>
  <c r="B79" i="27" s="1"/>
  <c r="A1577" i="2"/>
  <c r="B154" i="25" s="1"/>
  <c r="B80" i="27" s="1"/>
  <c r="A1578" i="2"/>
  <c r="B155" i="25" s="1"/>
  <c r="B81" i="27" s="1"/>
  <c r="A1579" i="2"/>
  <c r="B156" i="25" s="1"/>
  <c r="B82" i="27" s="1"/>
  <c r="A1580" i="2"/>
  <c r="B157" i="25" s="1"/>
  <c r="B83" i="27" s="1"/>
  <c r="A1581" i="2"/>
  <c r="B158" i="25" s="1"/>
  <c r="B84" i="27" s="1"/>
  <c r="A1582" i="2"/>
  <c r="B159" i="25" s="1"/>
  <c r="B85" i="27" s="1"/>
  <c r="A1583" i="2"/>
  <c r="B160" i="25" s="1"/>
  <c r="B86" i="27" s="1"/>
  <c r="A1584" i="2"/>
  <c r="B1" i="35" s="1"/>
  <c r="A1585" i="2"/>
  <c r="B2" i="35" s="1"/>
  <c r="A1586" i="2"/>
  <c r="B3" i="35" s="1"/>
  <c r="A1587" i="2"/>
  <c r="B4" i="35" s="1"/>
  <c r="A1588" i="2"/>
  <c r="B5" i="35" s="1"/>
  <c r="A1589" i="2"/>
  <c r="B6" i="35" s="1"/>
  <c r="A1590" i="2"/>
  <c r="B7" i="35" s="1"/>
  <c r="A1591" i="2"/>
  <c r="B8" i="35" s="1"/>
  <c r="A1592" i="2"/>
  <c r="B9" i="35" s="1"/>
  <c r="A1593" i="2"/>
  <c r="B10" i="35" s="1"/>
  <c r="A1594" i="2"/>
  <c r="B11" i="35" s="1"/>
  <c r="A1595" i="2"/>
  <c r="B12" i="35" s="1"/>
  <c r="A1596" i="2"/>
  <c r="B13" i="35" s="1"/>
  <c r="A1597" i="2"/>
  <c r="B14" i="35" s="1"/>
  <c r="A1598" i="2"/>
  <c r="B15" i="35" s="1"/>
  <c r="A1599" i="2"/>
  <c r="B16" i="35" s="1"/>
  <c r="A1600" i="2"/>
  <c r="B18" i="35" s="1"/>
  <c r="A1601" i="2"/>
  <c r="B19" i="35" s="1"/>
  <c r="A1602" i="2"/>
  <c r="A1603" i="2"/>
  <c r="B20" i="35" s="1"/>
  <c r="A1604" i="2"/>
  <c r="B21" i="35" s="1"/>
  <c r="A1605" i="2"/>
  <c r="B22" i="35" s="1"/>
  <c r="A1606" i="2"/>
  <c r="B23" i="35" s="1"/>
  <c r="A1607" i="2"/>
  <c r="B24" i="35" s="1"/>
  <c r="A1608" i="2"/>
  <c r="B25" i="35" s="1"/>
  <c r="A1609" i="2"/>
  <c r="B26" i="35" s="1"/>
  <c r="A1610" i="2"/>
  <c r="B27" i="35" s="1"/>
  <c r="A1611" i="2"/>
  <c r="B28" i="35" s="1"/>
  <c r="A1612" i="2"/>
  <c r="B29" i="35" s="1"/>
  <c r="A1613" i="2"/>
  <c r="B30" i="35" s="1"/>
  <c r="A1614" i="2"/>
  <c r="B31" i="35" s="1"/>
  <c r="A1615" i="2"/>
  <c r="B32" i="35" s="1"/>
  <c r="A1616" i="2"/>
  <c r="B34" i="35" s="1"/>
  <c r="A1617" i="2"/>
  <c r="A1618" i="2"/>
  <c r="B36" i="35" s="1"/>
  <c r="A1619" i="2"/>
  <c r="B37" i="35" s="1"/>
  <c r="B152" i="27" s="1"/>
  <c r="A1620" i="2"/>
  <c r="B38" i="35" s="1"/>
  <c r="A1621" i="2"/>
  <c r="B39" i="35" s="1"/>
  <c r="A1622" i="2"/>
  <c r="B40" i="35" s="1"/>
  <c r="A1623" i="2"/>
  <c r="B41" i="35" s="1"/>
  <c r="A1624" i="2"/>
  <c r="B42" i="35" s="1"/>
  <c r="A1625" i="2"/>
  <c r="B43" i="35" s="1"/>
  <c r="B87" i="27" s="1"/>
  <c r="A1626" i="2"/>
  <c r="B44" i="35" s="1"/>
  <c r="B153" i="27" s="1"/>
  <c r="A1627" i="2"/>
  <c r="B45" i="35" s="1"/>
  <c r="B154" i="27" s="1"/>
  <c r="A1628" i="2"/>
  <c r="B46" i="35" s="1"/>
  <c r="B155" i="27" s="1"/>
  <c r="A1629" i="2"/>
  <c r="B47" i="35" s="1"/>
  <c r="B156" i="27" s="1"/>
  <c r="A1630" i="2"/>
  <c r="B48" i="35" s="1"/>
  <c r="B157" i="27" s="1"/>
  <c r="A1631" i="2"/>
  <c r="B1" i="9" s="1"/>
  <c r="A1632" i="2"/>
  <c r="B2" i="9" s="1"/>
  <c r="A1633" i="2"/>
  <c r="B3" i="9" s="1"/>
  <c r="A1634" i="2"/>
  <c r="B4" i="9" s="1"/>
  <c r="B88" i="27" s="1"/>
  <c r="A1635" i="2"/>
  <c r="B5" i="9" s="1"/>
  <c r="B89" i="27" s="1"/>
  <c r="A1636" i="2"/>
  <c r="B6" i="9" s="1"/>
  <c r="B90" i="27" s="1"/>
  <c r="A1637" i="2"/>
  <c r="B7" i="9" s="1"/>
  <c r="B91" i="27" s="1"/>
  <c r="A1638" i="2"/>
  <c r="B8" i="9" s="1"/>
  <c r="B92" i="27" s="1"/>
  <c r="A1639" i="2"/>
  <c r="B9" i="9" s="1"/>
  <c r="B93" i="27" s="1"/>
  <c r="A1640" i="2"/>
  <c r="B10" i="9" s="1"/>
  <c r="B94" i="27" s="1"/>
  <c r="A1641" i="2"/>
  <c r="B11" i="9" s="1"/>
  <c r="B95" i="27" s="1"/>
  <c r="A1642" i="2"/>
  <c r="B12" i="9" s="1"/>
  <c r="B96" i="27" s="1"/>
  <c r="A1643" i="2"/>
  <c r="B13" i="9" s="1"/>
  <c r="B97" i="27" s="1"/>
  <c r="A1644" i="2"/>
  <c r="B14" i="9" s="1"/>
  <c r="A1645" i="2"/>
  <c r="B15" i="9" s="1"/>
  <c r="A1646" i="2"/>
  <c r="B16" i="9" s="1"/>
  <c r="B98" i="27" s="1"/>
  <c r="A1647" i="2"/>
  <c r="B17" i="9" s="1"/>
  <c r="A1648" i="2"/>
  <c r="B18" i="9" s="1"/>
  <c r="A1649" i="2"/>
  <c r="B19" i="9" s="1"/>
  <c r="B99" i="27" s="1"/>
  <c r="A1650" i="2"/>
  <c r="B20" i="9" s="1"/>
  <c r="B100" i="27" s="1"/>
  <c r="A1651" i="2"/>
  <c r="B21" i="9" s="1"/>
  <c r="B101" i="27" s="1"/>
  <c r="A1652" i="2"/>
  <c r="B22" i="9" s="1"/>
  <c r="B102" i="27" s="1"/>
  <c r="A1653" i="2"/>
  <c r="B23" i="9" s="1"/>
  <c r="B103" i="27" s="1"/>
  <c r="A1654" i="2"/>
  <c r="B24" i="9" s="1"/>
  <c r="B104" i="27" s="1"/>
  <c r="A1655" i="2"/>
  <c r="B25" i="9" s="1"/>
  <c r="B105" i="27" s="1"/>
  <c r="A1656" i="2"/>
  <c r="B26" i="9" s="1"/>
  <c r="A1657" i="2"/>
  <c r="B27" i="9" s="1"/>
  <c r="A1658" i="2"/>
  <c r="B29" i="9" s="1"/>
  <c r="A1659" i="2"/>
  <c r="B30" i="9" s="1"/>
  <c r="B106" i="27" s="1"/>
  <c r="A1660" i="2"/>
  <c r="B31" i="9" s="1"/>
  <c r="B107" i="27" s="1"/>
  <c r="A1661" i="2"/>
  <c r="B32" i="9" s="1"/>
  <c r="B108" i="27" s="1"/>
  <c r="A1662" i="2"/>
  <c r="B33" i="9" s="1"/>
  <c r="B109" i="27" s="1"/>
  <c r="A1663" i="2"/>
  <c r="B34" i="9" s="1"/>
  <c r="B110" i="27" s="1"/>
  <c r="A1664" i="2"/>
  <c r="B35" i="9" s="1"/>
  <c r="B111" i="27" s="1"/>
  <c r="A1665" i="2"/>
  <c r="B36" i="9" s="1"/>
  <c r="B112" i="27" s="1"/>
  <c r="A1666" i="2"/>
  <c r="B37" i="9" s="1"/>
  <c r="B113" i="27" s="1"/>
  <c r="A1667" i="2"/>
  <c r="B38" i="9" s="1"/>
  <c r="A1668" i="2"/>
  <c r="B40" i="9" s="1"/>
  <c r="A1669" i="2"/>
  <c r="B41" i="9" s="1"/>
  <c r="A1670" i="2"/>
  <c r="B42" i="9" s="1"/>
  <c r="A1671" i="2"/>
  <c r="B43" i="9" s="1"/>
  <c r="B114" i="27" s="1"/>
  <c r="A1672" i="2"/>
  <c r="B44" i="9" s="1"/>
  <c r="A1673" i="2"/>
  <c r="B45" i="9" s="1"/>
  <c r="A5" i="2"/>
  <c r="B3" i="2" s="1"/>
  <c r="A6" i="2"/>
  <c r="C3" i="2" s="1"/>
  <c r="A9" i="2"/>
  <c r="E9" i="14" s="1"/>
  <c r="A4" i="2"/>
  <c r="A1" i="2" s="1"/>
  <c r="F77" i="25"/>
  <c r="G77" i="25" s="1"/>
  <c r="F82" i="25"/>
  <c r="G82" i="25" s="1"/>
  <c r="F81" i="25"/>
  <c r="G81" i="25" s="1"/>
  <c r="F80" i="25"/>
  <c r="G80" i="25" s="1"/>
  <c r="C74" i="25"/>
  <c r="F19" i="35"/>
  <c r="G19" i="35" s="1"/>
  <c r="C18" i="35" s="1"/>
  <c r="C176" i="1" s="1"/>
  <c r="JV6" i="38" s="1"/>
  <c r="F20" i="35"/>
  <c r="G20" i="35" s="1"/>
  <c r="F22" i="35"/>
  <c r="G22" i="35" s="1"/>
  <c r="F23" i="35"/>
  <c r="G23" i="35" s="1"/>
  <c r="F24" i="35"/>
  <c r="G24" i="35" s="1"/>
  <c r="F25" i="35"/>
  <c r="G25" i="35" s="1"/>
  <c r="F26" i="35"/>
  <c r="G26" i="35" s="1"/>
  <c r="F27" i="35"/>
  <c r="G27" i="35" s="1"/>
  <c r="F28" i="35"/>
  <c r="G28" i="35"/>
  <c r="F29" i="35"/>
  <c r="G29" i="35" s="1"/>
  <c r="F30" i="35"/>
  <c r="G30" i="35" s="1"/>
  <c r="F31" i="35"/>
  <c r="G31" i="35" s="1"/>
  <c r="F32" i="35"/>
  <c r="G32" i="35" s="1"/>
  <c r="F54" i="32"/>
  <c r="G54" i="32" s="1"/>
  <c r="F14" i="23"/>
  <c r="G14" i="23" s="1"/>
  <c r="F40" i="23"/>
  <c r="G40" i="23" s="1"/>
  <c r="F64" i="23"/>
  <c r="G64" i="23" s="1"/>
  <c r="F142" i="23"/>
  <c r="G142" i="23" s="1"/>
  <c r="F147" i="23"/>
  <c r="G147" i="23" s="1"/>
  <c r="F8" i="23"/>
  <c r="G8" i="23" s="1"/>
  <c r="F9" i="23"/>
  <c r="G9" i="23" s="1"/>
  <c r="F10" i="23"/>
  <c r="G10" i="23"/>
  <c r="F11" i="23"/>
  <c r="G11" i="23" s="1"/>
  <c r="F12" i="23"/>
  <c r="G12" i="23" s="1"/>
  <c r="F13" i="23"/>
  <c r="G13" i="23" s="1"/>
  <c r="F15" i="23"/>
  <c r="G15" i="23" s="1"/>
  <c r="F22" i="23"/>
  <c r="G22" i="23" s="1"/>
  <c r="C20" i="23" s="1"/>
  <c r="C65" i="1" s="1"/>
  <c r="GM6" i="38" s="1"/>
  <c r="F23" i="23"/>
  <c r="G23" i="23" s="1"/>
  <c r="F24" i="23"/>
  <c r="G24" i="23" s="1"/>
  <c r="F25" i="23"/>
  <c r="G25" i="23" s="1"/>
  <c r="F26" i="23"/>
  <c r="G26" i="23" s="1"/>
  <c r="F27" i="23"/>
  <c r="G27" i="23" s="1"/>
  <c r="F28" i="23"/>
  <c r="G28" i="23" s="1"/>
  <c r="F29" i="23"/>
  <c r="G29" i="23" s="1"/>
  <c r="F30" i="23"/>
  <c r="G30" i="23" s="1"/>
  <c r="F31" i="23"/>
  <c r="G31" i="23" s="1"/>
  <c r="F32" i="23"/>
  <c r="G32" i="23" s="1"/>
  <c r="F33" i="23"/>
  <c r="G33" i="23" s="1"/>
  <c r="F34" i="23"/>
  <c r="G34" i="23" s="1"/>
  <c r="F35" i="23"/>
  <c r="G35" i="23" s="1"/>
  <c r="F36" i="23"/>
  <c r="G36" i="23" s="1"/>
  <c r="F37" i="23"/>
  <c r="G37" i="23" s="1"/>
  <c r="F38" i="23"/>
  <c r="G38" i="23" s="1"/>
  <c r="F39" i="23"/>
  <c r="G39" i="23" s="1"/>
  <c r="F41" i="23"/>
  <c r="G41" i="23" s="1"/>
  <c r="F42" i="23"/>
  <c r="G42" i="23" s="1"/>
  <c r="F47" i="23"/>
  <c r="G47" i="23" s="1"/>
  <c r="F48" i="23"/>
  <c r="G48" i="23" s="1"/>
  <c r="F49" i="23"/>
  <c r="G49" i="23" s="1"/>
  <c r="F50" i="23"/>
  <c r="G50" i="23" s="1"/>
  <c r="F51" i="23"/>
  <c r="G51" i="23" s="1"/>
  <c r="F52" i="23"/>
  <c r="G52" i="23" s="1"/>
  <c r="F55" i="23"/>
  <c r="G55" i="23" s="1"/>
  <c r="F56" i="23"/>
  <c r="G56" i="23" s="1"/>
  <c r="F57" i="23"/>
  <c r="G57" i="23" s="1"/>
  <c r="F58" i="23"/>
  <c r="G58" i="23" s="1"/>
  <c r="F59" i="23"/>
  <c r="G59" i="23" s="1"/>
  <c r="F60" i="23"/>
  <c r="G60" i="23" s="1"/>
  <c r="F61" i="23"/>
  <c r="G61" i="23" s="1"/>
  <c r="F62" i="23"/>
  <c r="G62" i="23" s="1"/>
  <c r="F63" i="23"/>
  <c r="G63" i="23" s="1"/>
  <c r="F65" i="23"/>
  <c r="G65" i="23"/>
  <c r="F66" i="23"/>
  <c r="G66" i="23" s="1"/>
  <c r="F69" i="23"/>
  <c r="G69" i="23" s="1"/>
  <c r="F70" i="23"/>
  <c r="G70" i="23" s="1"/>
  <c r="F71" i="23"/>
  <c r="G71" i="23" s="1"/>
  <c r="F72" i="23"/>
  <c r="G72" i="23" s="1"/>
  <c r="F73" i="23"/>
  <c r="G73" i="23" s="1"/>
  <c r="F74" i="23"/>
  <c r="G74" i="23" s="1"/>
  <c r="F75" i="23"/>
  <c r="G75" i="23" s="1"/>
  <c r="F76" i="23"/>
  <c r="G76" i="23" s="1"/>
  <c r="F77" i="23"/>
  <c r="G77" i="23" s="1"/>
  <c r="F103" i="23"/>
  <c r="G103" i="23" s="1"/>
  <c r="F108" i="23"/>
  <c r="G108" i="23" s="1"/>
  <c r="F113" i="23"/>
  <c r="G113" i="23" s="1"/>
  <c r="F114" i="23"/>
  <c r="G114" i="23" s="1"/>
  <c r="F115" i="23"/>
  <c r="G115" i="23" s="1"/>
  <c r="F116" i="23"/>
  <c r="G116" i="23" s="1"/>
  <c r="F117" i="23"/>
  <c r="G117" i="23" s="1"/>
  <c r="F118" i="23"/>
  <c r="G118" i="23" s="1"/>
  <c r="F121" i="23"/>
  <c r="G121" i="23" s="1"/>
  <c r="C119" i="23" s="1"/>
  <c r="C73" i="1" s="1"/>
  <c r="GU6" i="38" s="1"/>
  <c r="F122" i="23"/>
  <c r="G122" i="23" s="1"/>
  <c r="F123" i="23"/>
  <c r="G123" i="23" s="1"/>
  <c r="F124" i="23"/>
  <c r="G124" i="23" s="1"/>
  <c r="F125" i="23"/>
  <c r="G125" i="23" s="1"/>
  <c r="F126" i="23"/>
  <c r="G126" i="23" s="1"/>
  <c r="F127" i="23"/>
  <c r="G127" i="23" s="1"/>
  <c r="F128" i="23"/>
  <c r="G128" i="23" s="1"/>
  <c r="F129" i="23"/>
  <c r="G129" i="23" s="1"/>
  <c r="F130" i="23"/>
  <c r="G130" i="23" s="1"/>
  <c r="F131" i="23"/>
  <c r="G131" i="23" s="1"/>
  <c r="F132" i="23"/>
  <c r="G132" i="23" s="1"/>
  <c r="F133" i="23"/>
  <c r="G133" i="23" s="1"/>
  <c r="F134" i="23"/>
  <c r="G134" i="23"/>
  <c r="F135" i="23"/>
  <c r="G135" i="23" s="1"/>
  <c r="F136" i="23"/>
  <c r="G136" i="23" s="1"/>
  <c r="F137" i="23"/>
  <c r="G137" i="23" s="1"/>
  <c r="F138" i="23"/>
  <c r="G138" i="23" s="1"/>
  <c r="F139" i="23"/>
  <c r="G139" i="23" s="1"/>
  <c r="F140" i="23"/>
  <c r="G140" i="23" s="1"/>
  <c r="F141" i="23"/>
  <c r="G141" i="23" s="1"/>
  <c r="F143" i="23"/>
  <c r="G143" i="23" s="1"/>
  <c r="F144" i="23"/>
  <c r="G144" i="23" s="1"/>
  <c r="F145" i="23"/>
  <c r="G145" i="23" s="1"/>
  <c r="F146" i="23"/>
  <c r="G146" i="23" s="1"/>
  <c r="F148" i="23"/>
  <c r="G148" i="23" s="1"/>
  <c r="F149" i="23"/>
  <c r="G149" i="23" s="1"/>
  <c r="F150" i="23"/>
  <c r="G150" i="23" s="1"/>
  <c r="F151" i="23"/>
  <c r="G151" i="23" s="1"/>
  <c r="F152" i="23"/>
  <c r="G152" i="23" s="1"/>
  <c r="F153" i="23"/>
  <c r="G153" i="23" s="1"/>
  <c r="F154" i="23"/>
  <c r="G154" i="23" s="1"/>
  <c r="F155" i="23"/>
  <c r="G155" i="23" s="1"/>
  <c r="F156" i="23"/>
  <c r="F157" i="23"/>
  <c r="G157" i="23" s="1"/>
  <c r="F159" i="23"/>
  <c r="G159" i="23" s="1"/>
  <c r="F160" i="23"/>
  <c r="G160" i="23" s="1"/>
  <c r="F161" i="23"/>
  <c r="G161" i="23" s="1"/>
  <c r="F162" i="23"/>
  <c r="G162" i="23" s="1"/>
  <c r="F163" i="23"/>
  <c r="G163" i="23" s="1"/>
  <c r="F164" i="23"/>
  <c r="G164" i="23" s="1"/>
  <c r="F165" i="23"/>
  <c r="G165" i="23" s="1"/>
  <c r="F166" i="23"/>
  <c r="G166" i="23" s="1"/>
  <c r="F167" i="23"/>
  <c r="G167" i="23" s="1"/>
  <c r="F168" i="23"/>
  <c r="G168" i="23" s="1"/>
  <c r="F169" i="23"/>
  <c r="G169" i="23" s="1"/>
  <c r="F171" i="23"/>
  <c r="G171" i="23" s="1"/>
  <c r="F173" i="23"/>
  <c r="G173" i="23" s="1"/>
  <c r="F69" i="34"/>
  <c r="G69" i="34"/>
  <c r="F54" i="34"/>
  <c r="G54" i="34" s="1"/>
  <c r="F55" i="34"/>
  <c r="G55" i="34" s="1"/>
  <c r="F58" i="34"/>
  <c r="G58" i="34" s="1"/>
  <c r="F59" i="34"/>
  <c r="G59" i="34"/>
  <c r="F60" i="34"/>
  <c r="G60" i="34" s="1"/>
  <c r="F61" i="34"/>
  <c r="G61" i="34" s="1"/>
  <c r="F62" i="34"/>
  <c r="G62" i="34" s="1"/>
  <c r="F40" i="34"/>
  <c r="G40" i="34" s="1"/>
  <c r="F5" i="34"/>
  <c r="G5" i="34" s="1"/>
  <c r="F6" i="34"/>
  <c r="G6" i="34" s="1"/>
  <c r="F7" i="34"/>
  <c r="G7" i="34" s="1"/>
  <c r="F8" i="34"/>
  <c r="G8" i="34" s="1"/>
  <c r="F9" i="34"/>
  <c r="G9" i="34" s="1"/>
  <c r="F10" i="34"/>
  <c r="G10" i="34" s="1"/>
  <c r="G11" i="34"/>
  <c r="F12" i="34"/>
  <c r="G12" i="34"/>
  <c r="F13" i="34"/>
  <c r="G13" i="34"/>
  <c r="F14" i="34"/>
  <c r="G14" i="34"/>
  <c r="F15" i="34"/>
  <c r="G15" i="34"/>
  <c r="F16" i="34"/>
  <c r="G16" i="34"/>
  <c r="F21" i="34"/>
  <c r="G21" i="34" s="1"/>
  <c r="C19" i="34" s="1"/>
  <c r="C119" i="1" s="1"/>
  <c r="IC6" i="38" s="1"/>
  <c r="F22" i="34"/>
  <c r="G22" i="34"/>
  <c r="F23" i="34"/>
  <c r="G23" i="34"/>
  <c r="F24" i="34"/>
  <c r="G24" i="34"/>
  <c r="F25" i="34"/>
  <c r="G25" i="34"/>
  <c r="F26" i="34"/>
  <c r="G26" i="34"/>
  <c r="F27" i="34"/>
  <c r="G27" i="34"/>
  <c r="F28" i="34"/>
  <c r="G28" i="34"/>
  <c r="F29" i="34"/>
  <c r="G29" i="34"/>
  <c r="F31" i="34"/>
  <c r="G31" i="34"/>
  <c r="F41" i="34"/>
  <c r="G41" i="34"/>
  <c r="F44" i="34"/>
  <c r="G44" i="34"/>
  <c r="F45" i="34"/>
  <c r="G45" i="34"/>
  <c r="F46" i="34"/>
  <c r="G46" i="34"/>
  <c r="F47" i="34"/>
  <c r="G47" i="34"/>
  <c r="F48" i="34"/>
  <c r="G48" i="34"/>
  <c r="F68" i="34"/>
  <c r="G68" i="34"/>
  <c r="F70" i="34"/>
  <c r="G70" i="34"/>
  <c r="F73" i="34"/>
  <c r="G73" i="34"/>
  <c r="F74" i="34"/>
  <c r="G74" i="34"/>
  <c r="F75" i="34"/>
  <c r="G75" i="34"/>
  <c r="F76" i="34"/>
  <c r="G76" i="34"/>
  <c r="F77" i="34"/>
  <c r="G77" i="34"/>
  <c r="F50" i="25"/>
  <c r="G50" i="25" s="1"/>
  <c r="F6" i="25"/>
  <c r="G6" i="25" s="1"/>
  <c r="F7" i="25"/>
  <c r="G7" i="25" s="1"/>
  <c r="F8" i="25"/>
  <c r="G8" i="25" s="1"/>
  <c r="F9" i="25"/>
  <c r="G9" i="25" s="1"/>
  <c r="F10" i="25"/>
  <c r="G10" i="25" s="1"/>
  <c r="F61" i="25"/>
  <c r="G61" i="25" s="1"/>
  <c r="F11" i="25"/>
  <c r="G11" i="25"/>
  <c r="F21" i="25"/>
  <c r="G21" i="25" s="1"/>
  <c r="C13" i="25" s="1"/>
  <c r="C164" i="1" s="1"/>
  <c r="JL6" i="38" s="1"/>
  <c r="F22" i="25"/>
  <c r="G22" i="25" s="1"/>
  <c r="F23" i="25"/>
  <c r="G23" i="25" s="1"/>
  <c r="F24" i="25"/>
  <c r="G24" i="25" s="1"/>
  <c r="F25" i="25"/>
  <c r="G25" i="25" s="1"/>
  <c r="F26" i="25"/>
  <c r="G26" i="25" s="1"/>
  <c r="F27" i="25"/>
  <c r="G27" i="25" s="1"/>
  <c r="F28" i="25"/>
  <c r="G28" i="25" s="1"/>
  <c r="F29" i="25"/>
  <c r="G29" i="25" s="1"/>
  <c r="F30" i="25"/>
  <c r="G30" i="25" s="1"/>
  <c r="F31" i="25"/>
  <c r="G31" i="25" s="1"/>
  <c r="F32" i="25"/>
  <c r="G32" i="25" s="1"/>
  <c r="F33" i="25"/>
  <c r="G33" i="25" s="1"/>
  <c r="F34" i="25"/>
  <c r="G34" i="25" s="1"/>
  <c r="F35" i="25"/>
  <c r="G35" i="25" s="1"/>
  <c r="F36" i="25"/>
  <c r="G36" i="25" s="1"/>
  <c r="F37" i="25"/>
  <c r="G37" i="25" s="1"/>
  <c r="F38" i="25"/>
  <c r="G38" i="25" s="1"/>
  <c r="F39" i="25"/>
  <c r="G39" i="25" s="1"/>
  <c r="F43" i="25"/>
  <c r="G43" i="25"/>
  <c r="F44" i="25"/>
  <c r="G44" i="25" s="1"/>
  <c r="F45" i="25"/>
  <c r="G45" i="25" s="1"/>
  <c r="F47" i="25"/>
  <c r="G47" i="25" s="1"/>
  <c r="F49" i="25"/>
  <c r="G49" i="25" s="1"/>
  <c r="F51" i="25"/>
  <c r="G51" i="25" s="1"/>
  <c r="F52" i="25"/>
  <c r="G52" i="25" s="1"/>
  <c r="F53" i="25"/>
  <c r="G53" i="25" s="1"/>
  <c r="F56" i="25"/>
  <c r="G56" i="25" s="1"/>
  <c r="F58" i="25"/>
  <c r="G58" i="25" s="1"/>
  <c r="F62" i="25"/>
  <c r="G62" i="25" s="1"/>
  <c r="F63" i="25"/>
  <c r="G63" i="25" s="1"/>
  <c r="F64" i="25"/>
  <c r="G64" i="25" s="1"/>
  <c r="F65" i="25"/>
  <c r="G65" i="25" s="1"/>
  <c r="F66" i="25"/>
  <c r="G66" i="25" s="1"/>
  <c r="F67" i="25"/>
  <c r="G67" i="25" s="1"/>
  <c r="F68" i="25"/>
  <c r="G68" i="25" s="1"/>
  <c r="F69" i="25"/>
  <c r="G69" i="25"/>
  <c r="F71" i="25"/>
  <c r="G71" i="25" s="1"/>
  <c r="F72" i="25"/>
  <c r="G72" i="25" s="1"/>
  <c r="F78" i="25"/>
  <c r="G78" i="25" s="1"/>
  <c r="F79" i="25"/>
  <c r="G79" i="25" s="1"/>
  <c r="F84" i="25"/>
  <c r="G84" i="25" s="1"/>
  <c r="F85" i="25"/>
  <c r="G85" i="25" s="1"/>
  <c r="F87" i="25"/>
  <c r="G87" i="25" s="1"/>
  <c r="F88" i="25"/>
  <c r="G88" i="25" s="1"/>
  <c r="F89" i="25"/>
  <c r="G89" i="25" s="1"/>
  <c r="F90" i="25"/>
  <c r="G90" i="25" s="1"/>
  <c r="F91" i="25"/>
  <c r="G91" i="25" s="1"/>
  <c r="F93" i="25"/>
  <c r="G93" i="25" s="1"/>
  <c r="G94" i="25"/>
  <c r="F95" i="25"/>
  <c r="G95" i="25" s="1"/>
  <c r="F96" i="25"/>
  <c r="G96" i="25" s="1"/>
  <c r="F101" i="25"/>
  <c r="G101" i="25" s="1"/>
  <c r="F102" i="25"/>
  <c r="G102" i="25" s="1"/>
  <c r="F103" i="25"/>
  <c r="G103" i="25" s="1"/>
  <c r="F105" i="25"/>
  <c r="G105" i="25" s="1"/>
  <c r="F106" i="25"/>
  <c r="G106" i="25" s="1"/>
  <c r="F107" i="25"/>
  <c r="G107" i="25" s="1"/>
  <c r="F109" i="25"/>
  <c r="G109" i="25" s="1"/>
  <c r="F111" i="25"/>
  <c r="G111" i="25" s="1"/>
  <c r="F116" i="25"/>
  <c r="G116" i="25" s="1"/>
  <c r="F117" i="25"/>
  <c r="G117" i="25" s="1"/>
  <c r="F118" i="25"/>
  <c r="G118" i="25" s="1"/>
  <c r="F119" i="25"/>
  <c r="G119" i="25" s="1"/>
  <c r="F120" i="25"/>
  <c r="G120" i="25" s="1"/>
  <c r="F125" i="25"/>
  <c r="G125" i="25" s="1"/>
  <c r="F126" i="25"/>
  <c r="G126" i="25" s="1"/>
  <c r="F127" i="25"/>
  <c r="G127" i="25" s="1"/>
  <c r="F128" i="25"/>
  <c r="G128" i="25" s="1"/>
  <c r="F129" i="25"/>
  <c r="G129" i="25" s="1"/>
  <c r="F130" i="25"/>
  <c r="G130" i="25" s="1"/>
  <c r="F131" i="25"/>
  <c r="G131" i="25" s="1"/>
  <c r="F132" i="25"/>
  <c r="G132" i="25" s="1"/>
  <c r="F133" i="25"/>
  <c r="G133" i="25" s="1"/>
  <c r="F134" i="25"/>
  <c r="G134" i="25" s="1"/>
  <c r="F136" i="25"/>
  <c r="G136" i="25" s="1"/>
  <c r="F137" i="25"/>
  <c r="G137" i="25" s="1"/>
  <c r="F138" i="25"/>
  <c r="G138" i="25" s="1"/>
  <c r="F139" i="25"/>
  <c r="G139" i="25" s="1"/>
  <c r="F140" i="25"/>
  <c r="G140" i="25" s="1"/>
  <c r="F143" i="25"/>
  <c r="G143" i="25" s="1"/>
  <c r="F144" i="25"/>
  <c r="G144" i="25" s="1"/>
  <c r="F145" i="25"/>
  <c r="G145" i="25" s="1"/>
  <c r="F146" i="25"/>
  <c r="G146" i="25" s="1"/>
  <c r="F147" i="25"/>
  <c r="G147" i="25" s="1"/>
  <c r="F148" i="25"/>
  <c r="G148" i="25" s="1"/>
  <c r="F153" i="25"/>
  <c r="G153" i="25" s="1"/>
  <c r="F154" i="25"/>
  <c r="G154" i="25" s="1"/>
  <c r="F155" i="25"/>
  <c r="G155" i="25" s="1"/>
  <c r="F156" i="25"/>
  <c r="G156" i="25" s="1"/>
  <c r="F157" i="25"/>
  <c r="G157" i="25" s="1"/>
  <c r="F158" i="25"/>
  <c r="G158" i="25" s="1"/>
  <c r="F159" i="25"/>
  <c r="G159" i="25" s="1"/>
  <c r="F160" i="25"/>
  <c r="G160" i="25" s="1"/>
  <c r="F5" i="35"/>
  <c r="G5" i="35" s="1"/>
  <c r="F6" i="35"/>
  <c r="G6" i="35" s="1"/>
  <c r="F7" i="35"/>
  <c r="G7" i="35" s="1"/>
  <c r="F8" i="35"/>
  <c r="G8" i="35" s="1"/>
  <c r="F9" i="35"/>
  <c r="G9" i="35"/>
  <c r="F10" i="35"/>
  <c r="G10" i="35" s="1"/>
  <c r="F11" i="35"/>
  <c r="G11" i="35" s="1"/>
  <c r="F12" i="35"/>
  <c r="G12" i="35" s="1"/>
  <c r="F14" i="35"/>
  <c r="G14" i="35" s="1"/>
  <c r="F15" i="35"/>
  <c r="G15" i="35" s="1"/>
  <c r="F16" i="35"/>
  <c r="G16" i="35" s="1"/>
  <c r="F35" i="35"/>
  <c r="G35" i="35" s="1"/>
  <c r="F37" i="35"/>
  <c r="G37" i="35"/>
  <c r="F43" i="35"/>
  <c r="G43" i="35" s="1"/>
  <c r="F44" i="35"/>
  <c r="G44" i="35"/>
  <c r="F45" i="35"/>
  <c r="G45" i="35" s="1"/>
  <c r="F46" i="35"/>
  <c r="G46" i="35"/>
  <c r="F47" i="35"/>
  <c r="G47" i="35" s="1"/>
  <c r="F48" i="35"/>
  <c r="G48" i="35"/>
  <c r="F47" i="20"/>
  <c r="G47" i="20" s="1"/>
  <c r="F3" i="20"/>
  <c r="G3" i="20" s="1"/>
  <c r="F4" i="20"/>
  <c r="G4" i="20" s="1"/>
  <c r="F5" i="20"/>
  <c r="G5" i="20" s="1"/>
  <c r="F6" i="20"/>
  <c r="G6" i="20" s="1"/>
  <c r="F8" i="20"/>
  <c r="G8" i="20" s="1"/>
  <c r="F10" i="20"/>
  <c r="G10" i="20" s="1"/>
  <c r="F12" i="20"/>
  <c r="G12" i="20" s="1"/>
  <c r="F14" i="20"/>
  <c r="G14" i="20" s="1"/>
  <c r="F15" i="20"/>
  <c r="G15" i="20" s="1"/>
  <c r="F16" i="20"/>
  <c r="G16" i="20" s="1"/>
  <c r="F18" i="20"/>
  <c r="G18" i="20" s="1"/>
  <c r="F22" i="20"/>
  <c r="G22" i="20" s="1"/>
  <c r="F23" i="20"/>
  <c r="G23" i="20" s="1"/>
  <c r="F24" i="20"/>
  <c r="G24" i="20" s="1"/>
  <c r="F25" i="20"/>
  <c r="G25" i="20" s="1"/>
  <c r="F27" i="20"/>
  <c r="G27" i="20" s="1"/>
  <c r="F28" i="20"/>
  <c r="G28" i="20" s="1"/>
  <c r="F29" i="20"/>
  <c r="G29" i="20" s="1"/>
  <c r="F30" i="20"/>
  <c r="G30" i="20" s="1"/>
  <c r="F31" i="20"/>
  <c r="G31" i="20" s="1"/>
  <c r="F32" i="20"/>
  <c r="G32" i="20" s="1"/>
  <c r="F33" i="20"/>
  <c r="G33" i="20" s="1"/>
  <c r="F34" i="20"/>
  <c r="G34" i="20" s="1"/>
  <c r="F37" i="20"/>
  <c r="G37" i="20" s="1"/>
  <c r="F38" i="20"/>
  <c r="G38" i="20" s="1"/>
  <c r="F39" i="20"/>
  <c r="G39" i="20" s="1"/>
  <c r="F41" i="20"/>
  <c r="G41" i="20" s="1"/>
  <c r="F42" i="20"/>
  <c r="G42" i="20" s="1"/>
  <c r="F43" i="20"/>
  <c r="G43" i="20" s="1"/>
  <c r="F44" i="20"/>
  <c r="G44" i="20" s="1"/>
  <c r="F50" i="20"/>
  <c r="G50" i="20" s="1"/>
  <c r="F52" i="20"/>
  <c r="G52" i="20" s="1"/>
  <c r="F53" i="20"/>
  <c r="G53" i="20" s="1"/>
  <c r="F54" i="20"/>
  <c r="G54" i="20" s="1"/>
  <c r="F55" i="20"/>
  <c r="G55" i="20" s="1"/>
  <c r="F56" i="20"/>
  <c r="G56" i="20" s="1"/>
  <c r="F57" i="20"/>
  <c r="G57" i="20" s="1"/>
  <c r="F59" i="20"/>
  <c r="G59" i="20" s="1"/>
  <c r="F61" i="20"/>
  <c r="G61" i="20" s="1"/>
  <c r="F63" i="20"/>
  <c r="G63" i="20" s="1"/>
  <c r="F64" i="20"/>
  <c r="G64" i="20" s="1"/>
  <c r="F65" i="20"/>
  <c r="G65" i="20" s="1"/>
  <c r="F67" i="20"/>
  <c r="G67" i="20" s="1"/>
  <c r="F71" i="33"/>
  <c r="G71" i="33" s="1"/>
  <c r="F73" i="33"/>
  <c r="G73" i="33"/>
  <c r="F78" i="33"/>
  <c r="G78" i="33" s="1"/>
  <c r="F79" i="33"/>
  <c r="G79" i="33"/>
  <c r="F80" i="33"/>
  <c r="G80" i="33" s="1"/>
  <c r="F82" i="33"/>
  <c r="G82" i="33"/>
  <c r="F83" i="33"/>
  <c r="G83" i="33" s="1"/>
  <c r="F84" i="33"/>
  <c r="G84" i="33"/>
  <c r="F85" i="33"/>
  <c r="G85" i="33" s="1"/>
  <c r="F86" i="33"/>
  <c r="G86" i="33"/>
  <c r="F87" i="33"/>
  <c r="G87" i="33" s="1"/>
  <c r="F4" i="33"/>
  <c r="G4" i="33" s="1"/>
  <c r="F6" i="33"/>
  <c r="G6" i="33" s="1"/>
  <c r="F7" i="33"/>
  <c r="G7" i="33"/>
  <c r="F8" i="33"/>
  <c r="G8" i="33" s="1"/>
  <c r="F9" i="33"/>
  <c r="G9" i="33"/>
  <c r="F10" i="33"/>
  <c r="G10" i="33" s="1"/>
  <c r="F11" i="33"/>
  <c r="G11" i="33"/>
  <c r="F12" i="33"/>
  <c r="G12" i="33" s="1"/>
  <c r="F14" i="33"/>
  <c r="G14" i="33"/>
  <c r="F15" i="33"/>
  <c r="G15" i="33" s="1"/>
  <c r="F16" i="33"/>
  <c r="G16" i="33"/>
  <c r="F17" i="33"/>
  <c r="G17" i="33" s="1"/>
  <c r="F19" i="33"/>
  <c r="G19" i="33" s="1"/>
  <c r="C18" i="33" s="1"/>
  <c r="C101" i="1" s="1"/>
  <c r="HO6" i="38" s="1"/>
  <c r="F20" i="33"/>
  <c r="G20" i="33" s="1"/>
  <c r="F21" i="33"/>
  <c r="G21" i="33"/>
  <c r="F22" i="33"/>
  <c r="G22" i="33" s="1"/>
  <c r="F23" i="33"/>
  <c r="G23" i="33"/>
  <c r="F24" i="33"/>
  <c r="G24" i="33" s="1"/>
  <c r="F25" i="33"/>
  <c r="G25" i="33"/>
  <c r="F27" i="33"/>
  <c r="G27" i="33" s="1"/>
  <c r="F28" i="33"/>
  <c r="G28" i="33"/>
  <c r="F29" i="33"/>
  <c r="G29" i="33" s="1"/>
  <c r="F32" i="33"/>
  <c r="G32" i="33" s="1"/>
  <c r="C30" i="33" s="1"/>
  <c r="C102" i="1" s="1"/>
  <c r="HP6" i="38" s="1"/>
  <c r="F33" i="33"/>
  <c r="G33" i="33" s="1"/>
  <c r="F34" i="33"/>
  <c r="G34" i="33"/>
  <c r="F35" i="33"/>
  <c r="G35" i="33" s="1"/>
  <c r="F37" i="33"/>
  <c r="G37" i="33"/>
  <c r="C36" i="33" s="1"/>
  <c r="C103" i="1" s="1"/>
  <c r="HQ6" i="38" s="1"/>
  <c r="F38" i="33"/>
  <c r="G38" i="33" s="1"/>
  <c r="F40" i="33"/>
  <c r="G40" i="33"/>
  <c r="F41" i="33"/>
  <c r="G41" i="33" s="1"/>
  <c r="F42" i="33"/>
  <c r="G42" i="33"/>
  <c r="F43" i="33"/>
  <c r="G43" i="33" s="1"/>
  <c r="F44" i="33"/>
  <c r="G44" i="33"/>
  <c r="F45" i="33"/>
  <c r="G45" i="33" s="1"/>
  <c r="F46" i="33"/>
  <c r="G46" i="33"/>
  <c r="F47" i="33"/>
  <c r="G47" i="33" s="1"/>
  <c r="F48" i="33"/>
  <c r="G48" i="33"/>
  <c r="F53" i="33"/>
  <c r="G53" i="33" s="1"/>
  <c r="F54" i="33"/>
  <c r="G54" i="33"/>
  <c r="F55" i="33"/>
  <c r="G55" i="33" s="1"/>
  <c r="F56" i="33"/>
  <c r="G56" i="33"/>
  <c r="F57" i="33"/>
  <c r="G57" i="33" s="1"/>
  <c r="F58" i="33"/>
  <c r="G58" i="33"/>
  <c r="F59" i="33"/>
  <c r="G59" i="33" s="1"/>
  <c r="F60" i="33"/>
  <c r="G60" i="33"/>
  <c r="F61" i="33"/>
  <c r="G61" i="33" s="1"/>
  <c r="F63" i="33"/>
  <c r="G63" i="33"/>
  <c r="F64" i="33"/>
  <c r="G64" i="33" s="1"/>
  <c r="F65" i="33"/>
  <c r="G65" i="33"/>
  <c r="F155" i="18"/>
  <c r="G155" i="18" s="1"/>
  <c r="C152" i="18" s="1"/>
  <c r="C115" i="1" s="1"/>
  <c r="IA6" i="38" s="1"/>
  <c r="F156" i="18"/>
  <c r="G156" i="18" s="1"/>
  <c r="F157" i="18"/>
  <c r="G157" i="18" s="1"/>
  <c r="F160" i="18"/>
  <c r="G160" i="18" s="1"/>
  <c r="F161" i="18"/>
  <c r="G161" i="18" s="1"/>
  <c r="F162" i="18"/>
  <c r="G162" i="18" s="1"/>
  <c r="F4" i="18"/>
  <c r="G4" i="18" s="1"/>
  <c r="C3" i="18" s="1"/>
  <c r="C108" i="1" s="1"/>
  <c r="HT6" i="38" s="1"/>
  <c r="F7" i="18"/>
  <c r="G7" i="18" s="1"/>
  <c r="F10" i="18"/>
  <c r="G10" i="18" s="1"/>
  <c r="F11" i="18"/>
  <c r="G11" i="18" s="1"/>
  <c r="F12" i="18"/>
  <c r="G12" i="18" s="1"/>
  <c r="F13" i="18"/>
  <c r="G13" i="18" s="1"/>
  <c r="F14" i="18"/>
  <c r="G14" i="18" s="1"/>
  <c r="F142" i="18"/>
  <c r="G142" i="18" s="1"/>
  <c r="C141" i="18" s="1"/>
  <c r="F143" i="18"/>
  <c r="G143" i="18" s="1"/>
  <c r="F144" i="18"/>
  <c r="G144" i="18" s="1"/>
  <c r="F145" i="18"/>
  <c r="G145" i="18" s="1"/>
  <c r="F147" i="18"/>
  <c r="G147" i="18" s="1"/>
  <c r="F148" i="18"/>
  <c r="G148" i="18" s="1"/>
  <c r="F149" i="18"/>
  <c r="G149" i="18" s="1"/>
  <c r="F150" i="18"/>
  <c r="G150" i="18" s="1"/>
  <c r="F55" i="36"/>
  <c r="G55" i="36" s="1"/>
  <c r="C54" i="36" s="1"/>
  <c r="C128" i="1" s="1"/>
  <c r="IJ6" i="38" s="1"/>
  <c r="F9" i="36"/>
  <c r="G9" i="36" s="1"/>
  <c r="F10" i="36"/>
  <c r="G10" i="36" s="1"/>
  <c r="F11" i="36"/>
  <c r="G11" i="36"/>
  <c r="F12" i="36"/>
  <c r="G12" i="36" s="1"/>
  <c r="F13" i="36"/>
  <c r="G13" i="36" s="1"/>
  <c r="F14" i="36"/>
  <c r="G14" i="36" s="1"/>
  <c r="F15" i="36"/>
  <c r="G15" i="36" s="1"/>
  <c r="F16" i="36"/>
  <c r="G16" i="36" s="1"/>
  <c r="F21" i="36"/>
  <c r="G21" i="36" s="1"/>
  <c r="C19" i="36" s="1"/>
  <c r="C126" i="1" s="1"/>
  <c r="IH6" i="38" s="1"/>
  <c r="F22" i="36"/>
  <c r="G22" i="36" s="1"/>
  <c r="F23" i="36"/>
  <c r="G23" i="36"/>
  <c r="F24" i="36"/>
  <c r="G24" i="36" s="1"/>
  <c r="F25" i="36"/>
  <c r="G25" i="36" s="1"/>
  <c r="F26" i="36"/>
  <c r="G26" i="36"/>
  <c r="F27" i="36"/>
  <c r="G27" i="36" s="1"/>
  <c r="F28" i="36"/>
  <c r="G28" i="36" s="1"/>
  <c r="F4" i="36"/>
  <c r="G4" i="36" s="1"/>
  <c r="C3" i="36" s="1"/>
  <c r="C125" i="1" s="1"/>
  <c r="IG6" i="38" s="1"/>
  <c r="F5" i="36"/>
  <c r="G5" i="36" s="1"/>
  <c r="F6" i="36"/>
  <c r="G6" i="36" s="1"/>
  <c r="F7" i="36"/>
  <c r="G7" i="36" s="1"/>
  <c r="F29" i="36"/>
  <c r="G29" i="36" s="1"/>
  <c r="F30" i="36"/>
  <c r="G30" i="36"/>
  <c r="F31" i="36"/>
  <c r="G31" i="36" s="1"/>
  <c r="F32" i="36"/>
  <c r="G32" i="36" s="1"/>
  <c r="F33" i="36"/>
  <c r="G33" i="36" s="1"/>
  <c r="F34" i="36"/>
  <c r="G34" i="36" s="1"/>
  <c r="F35" i="36"/>
  <c r="G35" i="36" s="1"/>
  <c r="F36" i="36"/>
  <c r="G36" i="36" s="1"/>
  <c r="F39" i="36"/>
  <c r="G39" i="36" s="1"/>
  <c r="F40" i="36"/>
  <c r="G40" i="36"/>
  <c r="F42" i="36"/>
  <c r="G42" i="36" s="1"/>
  <c r="F43" i="36"/>
  <c r="G43" i="36" s="1"/>
  <c r="F44" i="36"/>
  <c r="G44" i="36" s="1"/>
  <c r="F45" i="36"/>
  <c r="G45" i="36" s="1"/>
  <c r="F46" i="36"/>
  <c r="G46" i="36" s="1"/>
  <c r="F47" i="36"/>
  <c r="G47" i="36" s="1"/>
  <c r="F48" i="36"/>
  <c r="G48" i="36" s="1"/>
  <c r="F49" i="36"/>
  <c r="G49" i="36"/>
  <c r="F50" i="36"/>
  <c r="G50" i="36" s="1"/>
  <c r="F51" i="36"/>
  <c r="G51" i="36" s="1"/>
  <c r="F52" i="36"/>
  <c r="G52" i="36" s="1"/>
  <c r="F56" i="36"/>
  <c r="G56" i="36" s="1"/>
  <c r="F58" i="36"/>
  <c r="G58" i="36" s="1"/>
  <c r="F60" i="36"/>
  <c r="G60" i="36" s="1"/>
  <c r="F61" i="36"/>
  <c r="G61" i="36" s="1"/>
  <c r="F62" i="36"/>
  <c r="G62" i="36"/>
  <c r="F63" i="36"/>
  <c r="G63" i="36" s="1"/>
  <c r="F64" i="36"/>
  <c r="G64" i="36" s="1"/>
  <c r="F66" i="36"/>
  <c r="G66" i="36" s="1"/>
  <c r="C65" i="36" s="1"/>
  <c r="C129" i="1" s="1"/>
  <c r="IK6" i="38" s="1"/>
  <c r="F67" i="36"/>
  <c r="G67" i="36" s="1"/>
  <c r="F69" i="36"/>
  <c r="G69" i="36" s="1"/>
  <c r="F70" i="36"/>
  <c r="G70" i="36" s="1"/>
  <c r="F71" i="36"/>
  <c r="G71" i="36" s="1"/>
  <c r="F72" i="36"/>
  <c r="G72" i="36"/>
  <c r="F73" i="36"/>
  <c r="G73" i="36" s="1"/>
  <c r="F74" i="36"/>
  <c r="G74" i="36" s="1"/>
  <c r="F75" i="36"/>
  <c r="G75" i="36" s="1"/>
  <c r="F18" i="5"/>
  <c r="G18" i="5" s="1"/>
  <c r="C16" i="5" s="1"/>
  <c r="C133" i="1" s="1"/>
  <c r="IM6" i="38" s="1"/>
  <c r="F7" i="5"/>
  <c r="G7" i="5" s="1"/>
  <c r="F26" i="5"/>
  <c r="G26" i="5" s="1"/>
  <c r="F19" i="5"/>
  <c r="G19" i="5" s="1"/>
  <c r="F20" i="5"/>
  <c r="G20" i="5" s="1"/>
  <c r="F21" i="5"/>
  <c r="G21" i="5" s="1"/>
  <c r="F22" i="5"/>
  <c r="G22" i="5" s="1"/>
  <c r="F23" i="5"/>
  <c r="G23" i="5"/>
  <c r="F8" i="5"/>
  <c r="G8" i="5" s="1"/>
  <c r="F9" i="5"/>
  <c r="G9" i="5" s="1"/>
  <c r="F10" i="5"/>
  <c r="G10" i="5" s="1"/>
  <c r="F12" i="5"/>
  <c r="G12" i="5" s="1"/>
  <c r="F27" i="5"/>
  <c r="G27" i="5" s="1"/>
  <c r="F33" i="5"/>
  <c r="G33" i="5" s="1"/>
  <c r="F35" i="5"/>
  <c r="G35" i="5" s="1"/>
  <c r="F37" i="5"/>
  <c r="G37" i="5" s="1"/>
  <c r="F38" i="5"/>
  <c r="G38" i="5" s="1"/>
  <c r="F39" i="5"/>
  <c r="G39" i="5" s="1"/>
  <c r="F43" i="5"/>
  <c r="G43" i="5" s="1"/>
  <c r="F44" i="5"/>
  <c r="G44" i="5" s="1"/>
  <c r="F47" i="5"/>
  <c r="G47" i="5" s="1"/>
  <c r="F48" i="5"/>
  <c r="G48" i="5" s="1"/>
  <c r="F49" i="5"/>
  <c r="G49" i="5" s="1"/>
  <c r="F50" i="5"/>
  <c r="G50" i="5" s="1"/>
  <c r="F52" i="5"/>
  <c r="G52" i="5" s="1"/>
  <c r="F54" i="5"/>
  <c r="G54" i="5" s="1"/>
  <c r="C41" i="5" s="1"/>
  <c r="C135" i="1" s="1"/>
  <c r="IO6" i="38" s="1"/>
  <c r="F55" i="5"/>
  <c r="G55" i="5" s="1"/>
  <c r="F146" i="8"/>
  <c r="G146" i="8" s="1"/>
  <c r="F147" i="8"/>
  <c r="G147" i="8" s="1"/>
  <c r="F148" i="8"/>
  <c r="G148" i="8" s="1"/>
  <c r="F149" i="8"/>
  <c r="G149" i="8" s="1"/>
  <c r="F150" i="8"/>
  <c r="G150" i="8" s="1"/>
  <c r="F74" i="8"/>
  <c r="G74" i="8" s="1"/>
  <c r="C72" i="8" s="1"/>
  <c r="E192" i="1" s="1"/>
  <c r="DH6" i="38" s="1"/>
  <c r="F82" i="8"/>
  <c r="G82" i="8" s="1"/>
  <c r="F208" i="8"/>
  <c r="G208" i="8" s="1"/>
  <c r="C205" i="8" s="1"/>
  <c r="C150" i="1" s="1"/>
  <c r="JB6" i="38" s="1"/>
  <c r="F236" i="8"/>
  <c r="G236" i="8" s="1"/>
  <c r="F13" i="8"/>
  <c r="G13" i="8" s="1"/>
  <c r="F14" i="8"/>
  <c r="G14" i="8" s="1"/>
  <c r="F15" i="8"/>
  <c r="G15" i="8" s="1"/>
  <c r="F16" i="8"/>
  <c r="G16" i="8" s="1"/>
  <c r="F17" i="8"/>
  <c r="G17" i="8" s="1"/>
  <c r="F18" i="8"/>
  <c r="F22" i="8"/>
  <c r="G22" i="8" s="1"/>
  <c r="F23" i="8"/>
  <c r="G23" i="8" s="1"/>
  <c r="F24" i="8"/>
  <c r="G24" i="8" s="1"/>
  <c r="F25" i="8"/>
  <c r="G25" i="8" s="1"/>
  <c r="F26" i="8"/>
  <c r="G26" i="8" s="1"/>
  <c r="F27" i="8"/>
  <c r="G27" i="8" s="1"/>
  <c r="F29" i="8"/>
  <c r="G29" i="8"/>
  <c r="F36" i="8"/>
  <c r="G36" i="8" s="1"/>
  <c r="F37" i="8"/>
  <c r="G37" i="8" s="1"/>
  <c r="F38" i="8"/>
  <c r="G38" i="8" s="1"/>
  <c r="F39" i="8"/>
  <c r="G39" i="8" s="1"/>
  <c r="F40" i="8"/>
  <c r="G40" i="8" s="1"/>
  <c r="F45" i="8"/>
  <c r="G45" i="8" s="1"/>
  <c r="F46" i="8"/>
  <c r="G46" i="8" s="1"/>
  <c r="F47" i="8"/>
  <c r="G47" i="8"/>
  <c r="F48" i="8"/>
  <c r="G48" i="8" s="1"/>
  <c r="F52" i="8"/>
  <c r="G52" i="8"/>
  <c r="F53" i="8"/>
  <c r="G53" i="8" s="1"/>
  <c r="F54" i="8"/>
  <c r="G54" i="8" s="1"/>
  <c r="F55" i="8"/>
  <c r="G55" i="8" s="1"/>
  <c r="F60" i="8"/>
  <c r="G60" i="8" s="1"/>
  <c r="F61" i="8"/>
  <c r="G61" i="8" s="1"/>
  <c r="F62" i="8"/>
  <c r="G62" i="8"/>
  <c r="F63" i="8"/>
  <c r="G63" i="8" s="1"/>
  <c r="F64" i="8"/>
  <c r="G64" i="8" s="1"/>
  <c r="F67" i="8"/>
  <c r="G67" i="8" s="1"/>
  <c r="F68" i="8"/>
  <c r="G68" i="8" s="1"/>
  <c r="F69" i="8"/>
  <c r="G69" i="8" s="1"/>
  <c r="F70" i="8"/>
  <c r="G70" i="8" s="1"/>
  <c r="F71" i="8"/>
  <c r="G71" i="8" s="1"/>
  <c r="F75" i="8"/>
  <c r="G75" i="8"/>
  <c r="F76" i="8"/>
  <c r="G76" i="8" s="1"/>
  <c r="F77" i="8"/>
  <c r="G77" i="8"/>
  <c r="F78" i="8"/>
  <c r="G78" i="8" s="1"/>
  <c r="F79" i="8"/>
  <c r="G79" i="8" s="1"/>
  <c r="F83" i="8"/>
  <c r="G83" i="8" s="1"/>
  <c r="F84" i="8"/>
  <c r="G84" i="8" s="1"/>
  <c r="F85" i="8"/>
  <c r="G85" i="8" s="1"/>
  <c r="F86" i="8"/>
  <c r="G86" i="8"/>
  <c r="F91" i="8"/>
  <c r="G91" i="8" s="1"/>
  <c r="F92" i="8"/>
  <c r="G92" i="8" s="1"/>
  <c r="F93" i="8"/>
  <c r="G93" i="8" s="1"/>
  <c r="F94" i="8"/>
  <c r="G94" i="8" s="1"/>
  <c r="F98" i="8"/>
  <c r="G98" i="8" s="1"/>
  <c r="F99" i="8"/>
  <c r="G99" i="8" s="1"/>
  <c r="F100" i="8"/>
  <c r="G100" i="8" s="1"/>
  <c r="F101" i="8"/>
  <c r="G101" i="8" s="1"/>
  <c r="C95" i="8" s="1"/>
  <c r="E196" i="1" s="1"/>
  <c r="DL6" i="38" s="1"/>
  <c r="F105" i="8"/>
  <c r="G105" i="8" s="1"/>
  <c r="F106" i="8"/>
  <c r="G106" i="8"/>
  <c r="F107" i="8"/>
  <c r="G107" i="8" s="1"/>
  <c r="F108" i="8"/>
  <c r="G108" i="8" s="1"/>
  <c r="F112" i="8"/>
  <c r="G112" i="8" s="1"/>
  <c r="F113" i="8"/>
  <c r="G113" i="8" s="1"/>
  <c r="F114" i="8"/>
  <c r="G114" i="8" s="1"/>
  <c r="F115" i="8"/>
  <c r="G115" i="8"/>
  <c r="F119" i="8"/>
  <c r="G119" i="8" s="1"/>
  <c r="F120" i="8"/>
  <c r="G120" i="8" s="1"/>
  <c r="F121" i="8"/>
  <c r="G121" i="8" s="1"/>
  <c r="F122" i="8"/>
  <c r="G122" i="8" s="1"/>
  <c r="F126" i="8"/>
  <c r="G126" i="8" s="1"/>
  <c r="F127" i="8"/>
  <c r="G127" i="8" s="1"/>
  <c r="F128" i="8"/>
  <c r="G128" i="8" s="1"/>
  <c r="F129" i="8"/>
  <c r="G129" i="8"/>
  <c r="F133" i="8"/>
  <c r="G133" i="8" s="1"/>
  <c r="F134" i="8"/>
  <c r="G134" i="8"/>
  <c r="F135" i="8"/>
  <c r="G135" i="8" s="1"/>
  <c r="F136" i="8"/>
  <c r="G136" i="8" s="1"/>
  <c r="F140" i="8"/>
  <c r="G140" i="8" s="1"/>
  <c r="F141" i="8"/>
  <c r="G141" i="8" s="1"/>
  <c r="F142" i="8"/>
  <c r="G142" i="8" s="1"/>
  <c r="F143" i="8"/>
  <c r="G143" i="8"/>
  <c r="F156" i="8"/>
  <c r="G156" i="8" s="1"/>
  <c r="F157" i="8"/>
  <c r="G157" i="8" s="1"/>
  <c r="F158" i="8"/>
  <c r="G158" i="8" s="1"/>
  <c r="F159" i="8"/>
  <c r="G159" i="8" s="1"/>
  <c r="F163" i="8"/>
  <c r="G163" i="8" s="1"/>
  <c r="F164" i="8"/>
  <c r="G164" i="8" s="1"/>
  <c r="F165" i="8"/>
  <c r="G165" i="8" s="1"/>
  <c r="F166" i="8"/>
  <c r="G166" i="8"/>
  <c r="F172" i="8"/>
  <c r="G172" i="8" s="1"/>
  <c r="F173" i="8"/>
  <c r="G173" i="8"/>
  <c r="F174" i="8"/>
  <c r="G174" i="8" s="1"/>
  <c r="F175" i="8"/>
  <c r="G175" i="8" s="1"/>
  <c r="F179" i="8"/>
  <c r="G179" i="8" s="1"/>
  <c r="F180" i="8"/>
  <c r="G180" i="8" s="1"/>
  <c r="F181" i="8"/>
  <c r="G181" i="8" s="1"/>
  <c r="F182" i="8"/>
  <c r="G182" i="8"/>
  <c r="F186" i="8"/>
  <c r="G186" i="8" s="1"/>
  <c r="F187" i="8"/>
  <c r="G187" i="8" s="1"/>
  <c r="F188" i="8"/>
  <c r="G188" i="8" s="1"/>
  <c r="F189" i="8"/>
  <c r="G189" i="8" s="1"/>
  <c r="F193" i="8"/>
  <c r="G193" i="8" s="1"/>
  <c r="F194" i="8"/>
  <c r="G194" i="8" s="1"/>
  <c r="F195" i="8"/>
  <c r="G195" i="8" s="1"/>
  <c r="F196" i="8"/>
  <c r="G196" i="8"/>
  <c r="F200" i="8"/>
  <c r="G200" i="8" s="1"/>
  <c r="F201" i="8"/>
  <c r="G201" i="8"/>
  <c r="F202" i="8"/>
  <c r="G202" i="8" s="1"/>
  <c r="F203" i="8"/>
  <c r="G203" i="8" s="1"/>
  <c r="F209" i="8"/>
  <c r="G209" i="8" s="1"/>
  <c r="F210" i="8"/>
  <c r="G210" i="8" s="1"/>
  <c r="F211" i="8"/>
  <c r="G211" i="8" s="1"/>
  <c r="F212" i="8"/>
  <c r="G212" i="8"/>
  <c r="F213" i="8"/>
  <c r="G213" i="8" s="1"/>
  <c r="F214" i="8"/>
  <c r="G214" i="8" s="1"/>
  <c r="F215" i="8"/>
  <c r="G215" i="8" s="1"/>
  <c r="F216" i="8"/>
  <c r="G216" i="8" s="1"/>
  <c r="F217" i="8"/>
  <c r="G217" i="8" s="1"/>
  <c r="F218" i="8"/>
  <c r="G218" i="8" s="1"/>
  <c r="F223" i="8"/>
  <c r="G223" i="8" s="1"/>
  <c r="F224" i="8"/>
  <c r="G224" i="8"/>
  <c r="F225" i="8"/>
  <c r="G225" i="8" s="1"/>
  <c r="F226" i="8"/>
  <c r="G226" i="8"/>
  <c r="F227" i="8"/>
  <c r="G227" i="8" s="1"/>
  <c r="F228" i="8"/>
  <c r="G228" i="8" s="1"/>
  <c r="F229" i="8"/>
  <c r="G229" i="8" s="1"/>
  <c r="F230" i="8"/>
  <c r="G230" i="8" s="1"/>
  <c r="F232" i="8"/>
  <c r="G232" i="8" s="1"/>
  <c r="F237" i="8"/>
  <c r="G237" i="8"/>
  <c r="F238" i="8"/>
  <c r="G238" i="8" s="1"/>
  <c r="F239" i="8"/>
  <c r="G239" i="8" s="1"/>
  <c r="F240" i="8"/>
  <c r="G240" i="8" s="1"/>
  <c r="F241" i="8"/>
  <c r="G241" i="8" s="1"/>
  <c r="F242" i="8"/>
  <c r="G242" i="8" s="1"/>
  <c r="F243" i="8"/>
  <c r="G243" i="8" s="1"/>
  <c r="F244" i="8"/>
  <c r="G244" i="8" s="1"/>
  <c r="F84" i="24"/>
  <c r="G84" i="24" s="1"/>
  <c r="F85" i="24"/>
  <c r="G85" i="24" s="1"/>
  <c r="F4" i="24"/>
  <c r="G4" i="24" s="1"/>
  <c r="F5" i="24"/>
  <c r="G5" i="24" s="1"/>
  <c r="F6" i="24"/>
  <c r="G6" i="24" s="1"/>
  <c r="F7" i="24"/>
  <c r="G7" i="24" s="1"/>
  <c r="F8" i="24"/>
  <c r="G8" i="24" s="1"/>
  <c r="F9" i="24"/>
  <c r="G9" i="24"/>
  <c r="F10" i="24"/>
  <c r="G10" i="24" s="1"/>
  <c r="F11" i="24"/>
  <c r="G11" i="24" s="1"/>
  <c r="F12" i="24"/>
  <c r="G12" i="24" s="1"/>
  <c r="F13" i="24"/>
  <c r="G13" i="24" s="1"/>
  <c r="F16" i="24"/>
  <c r="G16" i="24" s="1"/>
  <c r="C15" i="24" s="1"/>
  <c r="C156" i="1" s="1"/>
  <c r="JF6" i="38" s="1"/>
  <c r="F17" i="24"/>
  <c r="G17" i="24"/>
  <c r="F18" i="24"/>
  <c r="G18" i="24" s="1"/>
  <c r="F19" i="24"/>
  <c r="G19" i="24" s="1"/>
  <c r="F20" i="24"/>
  <c r="G20" i="24" s="1"/>
  <c r="F21" i="24"/>
  <c r="G21" i="24"/>
  <c r="F22" i="24"/>
  <c r="G22" i="24" s="1"/>
  <c r="F23" i="24"/>
  <c r="G23" i="24" s="1"/>
  <c r="F24" i="24"/>
  <c r="G24" i="24" s="1"/>
  <c r="F27" i="24"/>
  <c r="G27" i="24" s="1"/>
  <c r="F28" i="24"/>
  <c r="G28" i="24" s="1"/>
  <c r="F30" i="24"/>
  <c r="G30" i="24" s="1"/>
  <c r="F31" i="24"/>
  <c r="G31" i="24" s="1"/>
  <c r="F32" i="24"/>
  <c r="G32" i="24" s="1"/>
  <c r="F34" i="24"/>
  <c r="G34" i="24" s="1"/>
  <c r="F35" i="24"/>
  <c r="G35" i="24" s="1"/>
  <c r="F36" i="24"/>
  <c r="G36" i="24" s="1"/>
  <c r="F37" i="24"/>
  <c r="G37" i="24" s="1"/>
  <c r="F38" i="24"/>
  <c r="G38" i="24" s="1"/>
  <c r="F40" i="24"/>
  <c r="G40" i="24" s="1"/>
  <c r="F41" i="24"/>
  <c r="G41" i="24" s="1"/>
  <c r="F43" i="24"/>
  <c r="G43" i="24" s="1"/>
  <c r="F44" i="24"/>
  <c r="G44" i="24" s="1"/>
  <c r="F45" i="24"/>
  <c r="G45" i="24" s="1"/>
  <c r="F46" i="24"/>
  <c r="G46" i="24" s="1"/>
  <c r="F48" i="24"/>
  <c r="G48" i="24" s="1"/>
  <c r="C47" i="24" s="1"/>
  <c r="C158" i="1" s="1"/>
  <c r="JH6" i="38" s="1"/>
  <c r="F49" i="24"/>
  <c r="G49" i="24" s="1"/>
  <c r="F50" i="24"/>
  <c r="G50" i="24" s="1"/>
  <c r="F52" i="24"/>
  <c r="G52" i="24" s="1"/>
  <c r="F53" i="24"/>
  <c r="G53" i="24"/>
  <c r="F54" i="24"/>
  <c r="G54" i="24" s="1"/>
  <c r="F55" i="24"/>
  <c r="G55" i="24" s="1"/>
  <c r="F56" i="24"/>
  <c r="G56" i="24" s="1"/>
  <c r="F57" i="24"/>
  <c r="G57" i="24" s="1"/>
  <c r="F59" i="24"/>
  <c r="G59" i="24" s="1"/>
  <c r="F60" i="24"/>
  <c r="G60" i="24" s="1"/>
  <c r="F61" i="24"/>
  <c r="G61" i="24" s="1"/>
  <c r="F65" i="24"/>
  <c r="G65" i="24" s="1"/>
  <c r="F67" i="24"/>
  <c r="G67" i="24" s="1"/>
  <c r="F70" i="24"/>
  <c r="G70" i="24" s="1"/>
  <c r="F71" i="24"/>
  <c r="G71" i="24" s="1"/>
  <c r="F74" i="24"/>
  <c r="G74" i="24" s="1"/>
  <c r="F75" i="24"/>
  <c r="G75" i="24" s="1"/>
  <c r="F76" i="24"/>
  <c r="G76" i="24" s="1"/>
  <c r="F77" i="24"/>
  <c r="G77" i="24" s="1"/>
  <c r="F78" i="24"/>
  <c r="G78" i="24"/>
  <c r="F79" i="24"/>
  <c r="G79" i="24" s="1"/>
  <c r="F86" i="24"/>
  <c r="G86" i="24" s="1"/>
  <c r="F87" i="24"/>
  <c r="G87" i="24" s="1"/>
  <c r="F91" i="24"/>
  <c r="G91" i="24" s="1"/>
  <c r="F93" i="24"/>
  <c r="G93" i="24" s="1"/>
  <c r="F94" i="24"/>
  <c r="G94" i="24" s="1"/>
  <c r="F95" i="24"/>
  <c r="G95" i="24" s="1"/>
  <c r="F5" i="9"/>
  <c r="G5" i="9" s="1"/>
  <c r="F6" i="9"/>
  <c r="G6" i="9" s="1"/>
  <c r="F7" i="9"/>
  <c r="G7" i="9" s="1"/>
  <c r="F8" i="9"/>
  <c r="G8" i="9" s="1"/>
  <c r="F9" i="9"/>
  <c r="G9" i="9" s="1"/>
  <c r="F10" i="9"/>
  <c r="G10" i="9" s="1"/>
  <c r="F11" i="9"/>
  <c r="G11" i="9" s="1"/>
  <c r="F12" i="9"/>
  <c r="G12" i="9" s="1"/>
  <c r="F13" i="9"/>
  <c r="G13" i="9" s="1"/>
  <c r="F16" i="9"/>
  <c r="G16" i="9" s="1"/>
  <c r="F20" i="9"/>
  <c r="G20" i="9" s="1"/>
  <c r="F21" i="9"/>
  <c r="G21" i="9" s="1"/>
  <c r="F22" i="9"/>
  <c r="G22" i="9" s="1"/>
  <c r="F23" i="9"/>
  <c r="G23" i="9" s="1"/>
  <c r="F24" i="9"/>
  <c r="G24" i="9" s="1"/>
  <c r="F25" i="9"/>
  <c r="G25" i="9" s="1"/>
  <c r="F30" i="9"/>
  <c r="G30" i="9" s="1"/>
  <c r="F32" i="9"/>
  <c r="G32" i="9" s="1"/>
  <c r="F33" i="9"/>
  <c r="G33" i="9" s="1"/>
  <c r="F34" i="9"/>
  <c r="G34" i="9" s="1"/>
  <c r="F35" i="9"/>
  <c r="G35" i="9" s="1"/>
  <c r="F36" i="9"/>
  <c r="G36" i="9" s="1"/>
  <c r="F37" i="9"/>
  <c r="G37" i="9" s="1"/>
  <c r="F41" i="9"/>
  <c r="G41" i="9" s="1"/>
  <c r="F42" i="9"/>
  <c r="G42" i="9" s="1"/>
  <c r="F43" i="9"/>
  <c r="G43" i="9" s="1"/>
  <c r="F44" i="9"/>
  <c r="G44" i="9" s="1"/>
  <c r="F45" i="9"/>
  <c r="G45" i="9" s="1"/>
  <c r="C36" i="20"/>
  <c r="C96" i="1" s="1"/>
  <c r="HL6" i="38" s="1"/>
  <c r="C34" i="35"/>
  <c r="C177" i="1" s="1"/>
  <c r="JW6" i="38" s="1"/>
  <c r="C150" i="25"/>
  <c r="C142" i="25"/>
  <c r="C171" i="1" s="1"/>
  <c r="JS6" i="38" s="1"/>
  <c r="C113" i="25"/>
  <c r="C169" i="1" s="1"/>
  <c r="JQ6" i="38" s="1"/>
  <c r="C98" i="25"/>
  <c r="C168" i="1" s="1"/>
  <c r="JP6" i="38" s="1"/>
  <c r="C55" i="25"/>
  <c r="C166" i="1" s="1"/>
  <c r="JN6" i="38" s="1"/>
  <c r="C41" i="25"/>
  <c r="C82" i="24"/>
  <c r="C160" i="1" s="1"/>
  <c r="JJ6" i="38" s="1"/>
  <c r="C64" i="24"/>
  <c r="C26" i="24"/>
  <c r="C234" i="8"/>
  <c r="C152" i="1" s="1"/>
  <c r="JD6" i="38" s="1"/>
  <c r="C38" i="36"/>
  <c r="C127" i="1" s="1"/>
  <c r="II6" i="38" s="1"/>
  <c r="C131" i="18"/>
  <c r="C126" i="18"/>
  <c r="D207" i="1" s="1"/>
  <c r="CX6" i="38" s="1"/>
  <c r="C121" i="18"/>
  <c r="D206" i="1" s="1"/>
  <c r="CW6" i="38" s="1"/>
  <c r="C116" i="18"/>
  <c r="D205" i="1" s="1"/>
  <c r="CV6" i="38" s="1"/>
  <c r="C111" i="18"/>
  <c r="C106" i="18"/>
  <c r="C101" i="18"/>
  <c r="D202" i="1" s="1"/>
  <c r="CS6" i="38" s="1"/>
  <c r="C96" i="18"/>
  <c r="D201" i="1" s="1"/>
  <c r="CR6" i="38" s="1"/>
  <c r="C91" i="18"/>
  <c r="D200" i="1" s="1"/>
  <c r="CQ6" i="38" s="1"/>
  <c r="C86" i="18"/>
  <c r="D199" i="1" s="1"/>
  <c r="CP6" i="38" s="1"/>
  <c r="C81" i="18"/>
  <c r="D198" i="1" s="1"/>
  <c r="CO6" i="38" s="1"/>
  <c r="C76" i="18"/>
  <c r="D197" i="1" s="1"/>
  <c r="CN6" i="38" s="1"/>
  <c r="C71" i="18"/>
  <c r="C66" i="18"/>
  <c r="C61" i="18"/>
  <c r="D194" i="1" s="1"/>
  <c r="CK6" i="38" s="1"/>
  <c r="C56" i="18"/>
  <c r="D193" i="1" s="1"/>
  <c r="CJ6" i="38" s="1"/>
  <c r="C51" i="18"/>
  <c r="D192" i="1" s="1"/>
  <c r="CI6" i="38" s="1"/>
  <c r="C46" i="18"/>
  <c r="C41" i="18"/>
  <c r="D190" i="1" s="1"/>
  <c r="CG6" i="38" s="1"/>
  <c r="C21" i="18"/>
  <c r="D186" i="1" s="1"/>
  <c r="CC6" i="38" s="1"/>
  <c r="F69" i="33"/>
  <c r="C68" i="33" s="1"/>
  <c r="C105" i="1" s="1"/>
  <c r="HS6" i="38" s="1"/>
  <c r="C51" i="33"/>
  <c r="C46" i="20"/>
  <c r="C21" i="20"/>
  <c r="C95" i="1" s="1"/>
  <c r="HK6" i="38" s="1"/>
  <c r="C80" i="30"/>
  <c r="C27" i="30"/>
  <c r="C87" i="1" s="1"/>
  <c r="HE6" i="38" s="1"/>
  <c r="C13" i="30"/>
  <c r="C111" i="23"/>
  <c r="C72" i="1" s="1"/>
  <c r="GT6" i="38" s="1"/>
  <c r="C67" i="23"/>
  <c r="C68" i="1" s="1"/>
  <c r="GP6" i="38" s="1"/>
  <c r="C53" i="23"/>
  <c r="C67" i="1" s="1"/>
  <c r="GO6" i="38" s="1"/>
  <c r="C3" i="23"/>
  <c r="C64" i="1" s="1"/>
  <c r="GL6" i="38" s="1"/>
  <c r="I57" i="20"/>
  <c r="I21" i="9"/>
  <c r="I22" i="9"/>
  <c r="I23" i="9"/>
  <c r="I24" i="9"/>
  <c r="I20" i="9"/>
  <c r="D38" i="23"/>
  <c r="D25" i="23"/>
  <c r="C217" i="1" s="1"/>
  <c r="EQ6" i="38" s="1"/>
  <c r="C152" i="27"/>
  <c r="E152" i="27" s="1"/>
  <c r="C151" i="27"/>
  <c r="E151" i="27" s="1"/>
  <c r="F151" i="27" s="1"/>
  <c r="C149" i="27"/>
  <c r="C120" i="27"/>
  <c r="E120" i="27" s="1"/>
  <c r="F120" i="27" s="1"/>
  <c r="C121" i="27"/>
  <c r="C122" i="27"/>
  <c r="E122" i="27" s="1"/>
  <c r="F122" i="27" s="1"/>
  <c r="C123" i="27"/>
  <c r="E123" i="27" s="1"/>
  <c r="F123" i="27" s="1"/>
  <c r="C124" i="27"/>
  <c r="E124" i="27" s="1"/>
  <c r="F124" i="27" s="1"/>
  <c r="C125" i="27"/>
  <c r="E125" i="27" s="1"/>
  <c r="F125" i="27" s="1"/>
  <c r="C126" i="27"/>
  <c r="C127" i="27"/>
  <c r="E127" i="27" s="1"/>
  <c r="F127" i="27" s="1"/>
  <c r="C119" i="27"/>
  <c r="E119" i="27" s="1"/>
  <c r="F119" i="27" s="1"/>
  <c r="C13" i="27"/>
  <c r="E13" i="27" s="1"/>
  <c r="F13" i="27" s="1"/>
  <c r="C33" i="27"/>
  <c r="E33" i="27" s="1"/>
  <c r="F33" i="27" s="1"/>
  <c r="C32" i="27"/>
  <c r="LC6" i="38" s="1"/>
  <c r="UU6" i="38"/>
  <c r="BF6" i="38"/>
  <c r="BG6" i="38"/>
  <c r="BH6" i="38"/>
  <c r="BI6" i="38"/>
  <c r="BE6" i="38"/>
  <c r="C157" i="27"/>
  <c r="PF6" i="38" s="1"/>
  <c r="C156" i="27"/>
  <c r="PE6" i="38"/>
  <c r="C155" i="27"/>
  <c r="PD6" i="38" s="1"/>
  <c r="C154" i="27"/>
  <c r="PC6" i="38" s="1"/>
  <c r="C153" i="27"/>
  <c r="PA6" i="38"/>
  <c r="C150" i="27"/>
  <c r="OY6" i="38" s="1"/>
  <c r="C148" i="27"/>
  <c r="OW6" i="38" s="1"/>
  <c r="C147" i="27"/>
  <c r="OV6" i="38" s="1"/>
  <c r="C146" i="27"/>
  <c r="E146" i="27" s="1"/>
  <c r="F146" i="27" s="1"/>
  <c r="C145" i="27"/>
  <c r="OT6" i="38" s="1"/>
  <c r="C144" i="27"/>
  <c r="OS6" i="38" s="1"/>
  <c r="C143" i="27"/>
  <c r="OR6" i="38" s="1"/>
  <c r="C142" i="27"/>
  <c r="OQ6" i="38" s="1"/>
  <c r="C141" i="27"/>
  <c r="OP6" i="38" s="1"/>
  <c r="C140" i="27"/>
  <c r="OO6" i="38" s="1"/>
  <c r="C139" i="27"/>
  <c r="ON6" i="38" s="1"/>
  <c r="C138" i="27"/>
  <c r="OM6" i="38" s="1"/>
  <c r="C134" i="27"/>
  <c r="C128" i="27"/>
  <c r="OH6" i="38" s="1"/>
  <c r="C87" i="27"/>
  <c r="MZ6" i="38" s="1"/>
  <c r="C86" i="27"/>
  <c r="MY6" i="38"/>
  <c r="C85" i="27"/>
  <c r="MX6" i="38" s="1"/>
  <c r="C84" i="27"/>
  <c r="MW6" i="38" s="1"/>
  <c r="C83" i="27"/>
  <c r="MV6" i="38" s="1"/>
  <c r="C82" i="27"/>
  <c r="MU6" i="38" s="1"/>
  <c r="C81" i="27"/>
  <c r="MT6" i="38" s="1"/>
  <c r="C80" i="27"/>
  <c r="MS6" i="38" s="1"/>
  <c r="C79" i="27"/>
  <c r="MR6" i="38" s="1"/>
  <c r="C77" i="27"/>
  <c r="E77" i="27" s="1"/>
  <c r="F77" i="27" s="1"/>
  <c r="C76" i="27"/>
  <c r="MP6" i="38" s="1"/>
  <c r="C75" i="27"/>
  <c r="MO6" i="38" s="1"/>
  <c r="C74" i="27"/>
  <c r="MN6" i="38" s="1"/>
  <c r="C73" i="27"/>
  <c r="MM6" i="38" s="1"/>
  <c r="C72" i="27"/>
  <c r="ML6" i="38" s="1"/>
  <c r="C71" i="27"/>
  <c r="MK6" i="38" s="1"/>
  <c r="C70" i="27"/>
  <c r="MJ6" i="38" s="1"/>
  <c r="C69" i="27"/>
  <c r="MI6" i="38" s="1"/>
  <c r="C68" i="27"/>
  <c r="MH6" i="38" s="1"/>
  <c r="C67" i="27"/>
  <c r="MG6" i="38" s="1"/>
  <c r="C66" i="27"/>
  <c r="MF6" i="38" s="1"/>
  <c r="C64" i="27"/>
  <c r="ME6" i="38" s="1"/>
  <c r="C63" i="27"/>
  <c r="MD6" i="38" s="1"/>
  <c r="C62" i="27"/>
  <c r="MC6" i="38" s="1"/>
  <c r="C61" i="27"/>
  <c r="E61" i="27" s="1"/>
  <c r="F61" i="27" s="1"/>
  <c r="C60" i="27"/>
  <c r="MA6" i="38" s="1"/>
  <c r="C59" i="27"/>
  <c r="LZ6" i="38" s="1"/>
  <c r="C58" i="27"/>
  <c r="LY6" i="38" s="1"/>
  <c r="C57" i="27"/>
  <c r="LX6" i="38" s="1"/>
  <c r="C56" i="27"/>
  <c r="LW6" i="38" s="1"/>
  <c r="C54" i="27"/>
  <c r="LV6" i="38" s="1"/>
  <c r="C52" i="27"/>
  <c r="LU6" i="38" s="1"/>
  <c r="C51" i="27"/>
  <c r="LT6" i="38" s="1"/>
  <c r="C50" i="27"/>
  <c r="LS6" i="38" s="1"/>
  <c r="C49" i="27"/>
  <c r="LR6" i="38" s="1"/>
  <c r="C48" i="27"/>
  <c r="LQ6" i="38" s="1"/>
  <c r="C47" i="27"/>
  <c r="LP6" i="38" s="1"/>
  <c r="C46" i="27"/>
  <c r="LO6" i="38" s="1"/>
  <c r="C45" i="27"/>
  <c r="LN6" i="38" s="1"/>
  <c r="C44" i="27"/>
  <c r="LM6" i="38" s="1"/>
  <c r="C42" i="27"/>
  <c r="LL6" i="38" s="1"/>
  <c r="C41" i="27"/>
  <c r="LK6" i="38" s="1"/>
  <c r="C40" i="27"/>
  <c r="LJ6" i="38" s="1"/>
  <c r="C39" i="27"/>
  <c r="LI6" i="38" s="1"/>
  <c r="C38" i="27"/>
  <c r="LH6" i="38"/>
  <c r="C37" i="27"/>
  <c r="LG6" i="38" s="1"/>
  <c r="C36" i="27"/>
  <c r="LF6" i="38" s="1"/>
  <c r="C34" i="27"/>
  <c r="LE6" i="38" s="1"/>
  <c r="LD6" i="38"/>
  <c r="C35" i="27"/>
  <c r="LB6" i="38" s="1"/>
  <c r="C31" i="27"/>
  <c r="LA6" i="38" s="1"/>
  <c r="C30" i="27"/>
  <c r="KZ6" i="38" s="1"/>
  <c r="C29" i="27"/>
  <c r="KY6" i="38" s="1"/>
  <c r="C28" i="27"/>
  <c r="KX6" i="38" s="1"/>
  <c r="C27" i="27"/>
  <c r="KW6" i="38" s="1"/>
  <c r="C26" i="27"/>
  <c r="KV6" i="38" s="1"/>
  <c r="C25" i="27"/>
  <c r="KU6" i="38" s="1"/>
  <c r="C24" i="27"/>
  <c r="KT6" i="38" s="1"/>
  <c r="C23" i="27"/>
  <c r="KS6" i="38" s="1"/>
  <c r="C22" i="27"/>
  <c r="KR6" i="38" s="1"/>
  <c r="C21" i="27"/>
  <c r="KQ6" i="38" s="1"/>
  <c r="C20" i="27"/>
  <c r="KP6" i="38" s="1"/>
  <c r="C19" i="27"/>
  <c r="KO6" i="38" s="1"/>
  <c r="C18" i="27"/>
  <c r="KN6" i="38" s="1"/>
  <c r="C17" i="27"/>
  <c r="KM6" i="38" s="1"/>
  <c r="C16" i="27"/>
  <c r="KL6" i="38" s="1"/>
  <c r="C15" i="27"/>
  <c r="KK6" i="38" s="1"/>
  <c r="C14" i="27"/>
  <c r="KJ6" i="38" s="1"/>
  <c r="C12" i="27"/>
  <c r="KH6" i="38"/>
  <c r="C11" i="27"/>
  <c r="KG6" i="38" s="1"/>
  <c r="C8" i="27"/>
  <c r="KD6" i="38" s="1"/>
  <c r="C7" i="27"/>
  <c r="KC6" i="38" s="1"/>
  <c r="C5" i="27"/>
  <c r="KB6" i="38" s="1"/>
  <c r="C214" i="1"/>
  <c r="EN6" i="38" s="1"/>
  <c r="B75" i="25"/>
  <c r="F75" i="25"/>
  <c r="TT6" i="38"/>
  <c r="F20" i="32"/>
  <c r="G20" i="32" s="1"/>
  <c r="F21" i="32"/>
  <c r="G21" i="32" s="1"/>
  <c r="F22" i="32"/>
  <c r="G22" i="32" s="1"/>
  <c r="F23" i="32"/>
  <c r="G23" i="32" s="1"/>
  <c r="F24" i="32"/>
  <c r="G24" i="32" s="1"/>
  <c r="F25" i="32"/>
  <c r="G25" i="32" s="1"/>
  <c r="F26" i="32"/>
  <c r="G26" i="32" s="1"/>
  <c r="F27" i="32"/>
  <c r="G27" i="32" s="1"/>
  <c r="F67" i="32"/>
  <c r="G67" i="32" s="1"/>
  <c r="F73" i="32"/>
  <c r="G73" i="32" s="1"/>
  <c r="F75" i="32"/>
  <c r="G75" i="32"/>
  <c r="F59" i="32"/>
  <c r="G59" i="32" s="1"/>
  <c r="F60" i="32"/>
  <c r="G60" i="32" s="1"/>
  <c r="F61" i="32"/>
  <c r="G61" i="32" s="1"/>
  <c r="F62" i="32"/>
  <c r="G62" i="32" s="1"/>
  <c r="F63" i="32"/>
  <c r="G63" i="32" s="1"/>
  <c r="F44" i="32"/>
  <c r="G44" i="32" s="1"/>
  <c r="C43" i="32" s="1"/>
  <c r="C80" i="1" s="1"/>
  <c r="GZ6" i="38" s="1"/>
  <c r="F46" i="32"/>
  <c r="G46" i="32" s="1"/>
  <c r="F47" i="32"/>
  <c r="G47" i="32" s="1"/>
  <c r="F48" i="32"/>
  <c r="G48" i="32" s="1"/>
  <c r="F49" i="32"/>
  <c r="G49" i="32" s="1"/>
  <c r="F50" i="32"/>
  <c r="G50" i="32" s="1"/>
  <c r="F51" i="32"/>
  <c r="G51" i="32" s="1"/>
  <c r="F32" i="32"/>
  <c r="G32" i="32" s="1"/>
  <c r="F33" i="32"/>
  <c r="G33" i="32" s="1"/>
  <c r="F34" i="32"/>
  <c r="G34" i="32" s="1"/>
  <c r="F35" i="32"/>
  <c r="G35" i="32" s="1"/>
  <c r="F36" i="32"/>
  <c r="G36" i="32" s="1"/>
  <c r="F37" i="32"/>
  <c r="G37" i="32" s="1"/>
  <c r="F38" i="32"/>
  <c r="G38" i="32" s="1"/>
  <c r="F39" i="32"/>
  <c r="G39" i="32" s="1"/>
  <c r="F40" i="32"/>
  <c r="G40" i="32" s="1"/>
  <c r="F41" i="32"/>
  <c r="G41" i="32" s="1"/>
  <c r="C29" i="32" s="1"/>
  <c r="C79" i="1" s="1"/>
  <c r="GY6" i="38" s="1"/>
  <c r="C90" i="1"/>
  <c r="HH6" i="38" s="1"/>
  <c r="AH6" i="38"/>
  <c r="AG6" i="38"/>
  <c r="AF6" i="38"/>
  <c r="AE6" i="38"/>
  <c r="AD6" i="38"/>
  <c r="AC6" i="38"/>
  <c r="VO6" i="38"/>
  <c r="VN6" i="38"/>
  <c r="VJ6" i="38"/>
  <c r="VK6" i="38"/>
  <c r="VL6" i="38"/>
  <c r="VM6" i="38"/>
  <c r="VI6" i="38"/>
  <c r="VF6" i="38"/>
  <c r="VG6" i="38"/>
  <c r="VH6" i="38"/>
  <c r="VE6" i="38"/>
  <c r="VD6" i="38"/>
  <c r="VC6" i="38"/>
  <c r="VB6" i="38"/>
  <c r="VA6" i="38"/>
  <c r="UZ6" i="38"/>
  <c r="UY6" i="38"/>
  <c r="UX6" i="38"/>
  <c r="UW6" i="38"/>
  <c r="UV6" i="38"/>
  <c r="UT6" i="38"/>
  <c r="UM6" i="38"/>
  <c r="UN6" i="38"/>
  <c r="UO6" i="38"/>
  <c r="UP6" i="38"/>
  <c r="UQ6" i="38"/>
  <c r="UR6" i="38"/>
  <c r="US6" i="38"/>
  <c r="UL6" i="38"/>
  <c r="UK6" i="38"/>
  <c r="UI6" i="38"/>
  <c r="UJ6" i="38"/>
  <c r="UH6" i="38"/>
  <c r="UG6" i="38"/>
  <c r="UD6" i="38"/>
  <c r="UE6" i="38"/>
  <c r="UF6" i="38"/>
  <c r="UC6" i="38"/>
  <c r="UB6" i="38"/>
  <c r="UA6" i="38"/>
  <c r="TZ6" i="38"/>
  <c r="TY6" i="38"/>
  <c r="TX6" i="38"/>
  <c r="TW6" i="38"/>
  <c r="TV6" i="38"/>
  <c r="TU6" i="38"/>
  <c r="TL6" i="38"/>
  <c r="TM6" i="38"/>
  <c r="TN6" i="38"/>
  <c r="TO6" i="38"/>
  <c r="TP6" i="38"/>
  <c r="TQ6" i="38"/>
  <c r="TR6" i="38"/>
  <c r="TS6" i="38"/>
  <c r="TK6" i="38"/>
  <c r="TJ6" i="38"/>
  <c r="TI6" i="38"/>
  <c r="TH6" i="38"/>
  <c r="TG6" i="38"/>
  <c r="TF6" i="38"/>
  <c r="TE6" i="38"/>
  <c r="TD6" i="38"/>
  <c r="TC6" i="38"/>
  <c r="TB6" i="38"/>
  <c r="TA6" i="38"/>
  <c r="SZ6" i="38"/>
  <c r="SY6" i="38"/>
  <c r="SX6" i="38"/>
  <c r="SW6" i="38"/>
  <c r="SV6" i="38"/>
  <c r="SU6" i="38"/>
  <c r="ST6" i="38"/>
  <c r="SS6" i="38"/>
  <c r="SR6" i="38"/>
  <c r="SQ6" i="38"/>
  <c r="SP6" i="38"/>
  <c r="SO6" i="38"/>
  <c r="SN6" i="38"/>
  <c r="SM6" i="38"/>
  <c r="SL6" i="38"/>
  <c r="SK6" i="38"/>
  <c r="SI6" i="38"/>
  <c r="SH6" i="38"/>
  <c r="SG6" i="38"/>
  <c r="SF6" i="38"/>
  <c r="SE6" i="38"/>
  <c r="RW6" i="38"/>
  <c r="RX6" i="38"/>
  <c r="RY6" i="38"/>
  <c r="RZ6" i="38"/>
  <c r="SA6" i="38"/>
  <c r="SB6" i="38"/>
  <c r="SC6" i="38"/>
  <c r="SD6" i="38"/>
  <c r="RV6" i="38"/>
  <c r="RU6" i="38"/>
  <c r="RT6" i="38"/>
  <c r="RS6" i="38"/>
  <c r="RR6" i="38"/>
  <c r="RN6" i="38"/>
  <c r="RO6" i="38"/>
  <c r="RP6" i="38"/>
  <c r="RQ6" i="38"/>
  <c r="RM6" i="38"/>
  <c r="RC6" i="38"/>
  <c r="RD6" i="38"/>
  <c r="RE6" i="38"/>
  <c r="RF6" i="38"/>
  <c r="RG6" i="38"/>
  <c r="RH6" i="38"/>
  <c r="RI6" i="38"/>
  <c r="RJ6" i="38"/>
  <c r="RK6" i="38"/>
  <c r="RL6" i="38"/>
  <c r="RB6" i="38"/>
  <c r="QS6" i="38"/>
  <c r="QT6" i="38"/>
  <c r="QU6" i="38"/>
  <c r="QV6" i="38"/>
  <c r="QW6" i="38"/>
  <c r="QX6" i="38"/>
  <c r="QY6" i="38"/>
  <c r="QZ6" i="38"/>
  <c r="RA6" i="38"/>
  <c r="QR6" i="38"/>
  <c r="QK6" i="38"/>
  <c r="QL6" i="38"/>
  <c r="QM6" i="38"/>
  <c r="QN6" i="38"/>
  <c r="QO6" i="38"/>
  <c r="QP6" i="38"/>
  <c r="QQ6" i="38"/>
  <c r="QJ6" i="38"/>
  <c r="QC6" i="38"/>
  <c r="QD6" i="38"/>
  <c r="QE6" i="38"/>
  <c r="QF6" i="38"/>
  <c r="QG6" i="38"/>
  <c r="QH6" i="38"/>
  <c r="QI6" i="38"/>
  <c r="QB6" i="38"/>
  <c r="QA6" i="38"/>
  <c r="PZ6" i="38"/>
  <c r="PW6" i="38"/>
  <c r="PX6" i="38"/>
  <c r="PY6" i="38"/>
  <c r="PV6" i="38"/>
  <c r="PS6" i="38"/>
  <c r="PT6" i="38"/>
  <c r="PU6" i="38"/>
  <c r="PR6" i="38"/>
  <c r="PO6" i="38"/>
  <c r="PP6" i="38"/>
  <c r="PQ6" i="38"/>
  <c r="PN6" i="38"/>
  <c r="PK6" i="38"/>
  <c r="PL6" i="38"/>
  <c r="PM6" i="38"/>
  <c r="PJ6" i="38"/>
  <c r="PI6" i="38"/>
  <c r="PH6" i="38"/>
  <c r="PG6" i="38"/>
  <c r="E150" i="27"/>
  <c r="F150" i="27" s="1"/>
  <c r="E154" i="27"/>
  <c r="E155" i="27"/>
  <c r="F155" i="27" s="1"/>
  <c r="E156" i="27"/>
  <c r="F156" i="27" s="1"/>
  <c r="E157" i="27"/>
  <c r="F157" i="27" s="1"/>
  <c r="E141" i="27"/>
  <c r="F141" i="27" s="1"/>
  <c r="E144" i="27"/>
  <c r="F144" i="27" s="1"/>
  <c r="C109" i="27"/>
  <c r="NS6" i="38" s="1"/>
  <c r="C110" i="27"/>
  <c r="E110" i="27" s="1"/>
  <c r="F110" i="27" s="1"/>
  <c r="C111" i="27"/>
  <c r="NU6" i="38" s="1"/>
  <c r="C112" i="27"/>
  <c r="NV6" i="38" s="1"/>
  <c r="C113" i="27"/>
  <c r="NW6" i="38" s="1"/>
  <c r="C114" i="27"/>
  <c r="E114" i="27" s="1"/>
  <c r="F114" i="27" s="1"/>
  <c r="C101" i="27"/>
  <c r="NL6" i="38" s="1"/>
  <c r="C102" i="27"/>
  <c r="NM6" i="38" s="1"/>
  <c r="C103" i="27"/>
  <c r="NN6" i="38" s="1"/>
  <c r="C104" i="27"/>
  <c r="C105" i="27"/>
  <c r="NP6" i="38" s="1"/>
  <c r="C106" i="27"/>
  <c r="NQ6" i="38" s="1"/>
  <c r="C108" i="27"/>
  <c r="NR6" i="38" s="1"/>
  <c r="C90" i="27"/>
  <c r="NB6" i="38" s="1"/>
  <c r="C91" i="27"/>
  <c r="NC6" i="38" s="1"/>
  <c r="C92" i="27"/>
  <c r="ND6" i="38" s="1"/>
  <c r="C93" i="27"/>
  <c r="NE6" i="38" s="1"/>
  <c r="C94" i="27"/>
  <c r="NF6" i="38" s="1"/>
  <c r="C95" i="27"/>
  <c r="NG6" i="38" s="1"/>
  <c r="C96" i="27"/>
  <c r="C97" i="27"/>
  <c r="NI6" i="38" s="1"/>
  <c r="C98" i="27"/>
  <c r="NJ6" i="38" s="1"/>
  <c r="C100" i="27"/>
  <c r="NK6" i="38" s="1"/>
  <c r="E82" i="27"/>
  <c r="F82" i="27" s="1"/>
  <c r="E85" i="27"/>
  <c r="F85" i="27" s="1"/>
  <c r="E86" i="27"/>
  <c r="F86" i="27" s="1"/>
  <c r="E87" i="27"/>
  <c r="F87" i="27" s="1"/>
  <c r="C89" i="27"/>
  <c r="NA6" i="38" s="1"/>
  <c r="E80" i="27"/>
  <c r="F80" i="27" s="1"/>
  <c r="E81" i="27"/>
  <c r="F81" i="27" s="1"/>
  <c r="E76" i="27"/>
  <c r="F76" i="27" s="1"/>
  <c r="E68" i="27"/>
  <c r="F68" i="27"/>
  <c r="E69" i="27"/>
  <c r="F69" i="27" s="1"/>
  <c r="E71" i="27"/>
  <c r="E72" i="27"/>
  <c r="F72" i="27" s="1"/>
  <c r="E73" i="27"/>
  <c r="F73" i="27" s="1"/>
  <c r="E56" i="27"/>
  <c r="F56" i="27"/>
  <c r="E60" i="27"/>
  <c r="F60" i="27" s="1"/>
  <c r="E63" i="27"/>
  <c r="F63" i="27" s="1"/>
  <c r="E64" i="27"/>
  <c r="F64" i="27" s="1"/>
  <c r="E50" i="27"/>
  <c r="F50" i="27" s="1"/>
  <c r="E51" i="27"/>
  <c r="F51" i="27" s="1"/>
  <c r="E37" i="27"/>
  <c r="F37" i="27" s="1"/>
  <c r="E42" i="27"/>
  <c r="F42" i="27" s="1"/>
  <c r="E21" i="27"/>
  <c r="F21" i="27" s="1"/>
  <c r="E22" i="27"/>
  <c r="F22" i="27" s="1"/>
  <c r="E25" i="27"/>
  <c r="F55" i="32"/>
  <c r="G55" i="32" s="1"/>
  <c r="C9" i="27"/>
  <c r="KE6" i="38" s="1"/>
  <c r="E11" i="27"/>
  <c r="F11" i="27" s="1"/>
  <c r="E12" i="27"/>
  <c r="F12" i="27" s="1"/>
  <c r="E17" i="27"/>
  <c r="F17" i="27" s="1"/>
  <c r="E19" i="27"/>
  <c r="F19" i="27" s="1"/>
  <c r="F152" i="27"/>
  <c r="F154" i="27"/>
  <c r="F25" i="27"/>
  <c r="F71" i="27"/>
  <c r="C237" i="1"/>
  <c r="FJ6" i="38" s="1"/>
  <c r="C238" i="1"/>
  <c r="FK6" i="38" s="1"/>
  <c r="C239" i="1"/>
  <c r="FL6" i="38" s="1"/>
  <c r="C240" i="1"/>
  <c r="FM6" i="38" s="1"/>
  <c r="C241" i="1"/>
  <c r="FN6" i="38" s="1"/>
  <c r="C243" i="1"/>
  <c r="FO6" i="38" s="1"/>
  <c r="C244" i="1"/>
  <c r="FP6" i="38" s="1"/>
  <c r="C245" i="1"/>
  <c r="FQ6" i="38" s="1"/>
  <c r="C246" i="1"/>
  <c r="FR6" i="38" s="1"/>
  <c r="C247" i="1"/>
  <c r="FS6" i="38" s="1"/>
  <c r="C233" i="1"/>
  <c r="FG6" i="38" s="1"/>
  <c r="C234" i="1"/>
  <c r="FH6" i="38" s="1"/>
  <c r="C236" i="1"/>
  <c r="FI6" i="38" s="1"/>
  <c r="C215" i="1"/>
  <c r="EO6" i="38" s="1"/>
  <c r="C216" i="1"/>
  <c r="EP6" i="38" s="1"/>
  <c r="C218" i="1"/>
  <c r="ER6" i="38" s="1"/>
  <c r="C219" i="1"/>
  <c r="ES6" i="38" s="1"/>
  <c r="C220" i="1"/>
  <c r="ET6" i="38" s="1"/>
  <c r="C221" i="1"/>
  <c r="EU6" i="38" s="1"/>
  <c r="C222" i="1"/>
  <c r="EV6" i="38" s="1"/>
  <c r="C223" i="1"/>
  <c r="EW6" i="38" s="1"/>
  <c r="C224" i="1"/>
  <c r="EX6" i="38" s="1"/>
  <c r="C225" i="1"/>
  <c r="EY6" i="38" s="1"/>
  <c r="C226" i="1"/>
  <c r="EZ6" i="38" s="1"/>
  <c r="C227" i="1"/>
  <c r="FA6" i="38" s="1"/>
  <c r="C228" i="1"/>
  <c r="FB6" i="38" s="1"/>
  <c r="C229" i="1"/>
  <c r="FC6" i="38" s="1"/>
  <c r="C230" i="1"/>
  <c r="FD6" i="38" s="1"/>
  <c r="C231" i="1"/>
  <c r="FE6" i="38" s="1"/>
  <c r="C232" i="1"/>
  <c r="FF6" i="38" s="1"/>
  <c r="F12" i="32"/>
  <c r="G12" i="32" s="1"/>
  <c r="F13" i="32"/>
  <c r="G13" i="32" s="1"/>
  <c r="F14" i="32"/>
  <c r="G14" i="32" s="1"/>
  <c r="F15" i="32"/>
  <c r="G15" i="32" s="1"/>
  <c r="F16" i="32"/>
  <c r="G16" i="32" s="1"/>
  <c r="AJ6" i="38"/>
  <c r="AK6" i="38"/>
  <c r="AL6" i="38"/>
  <c r="AM6" i="38"/>
  <c r="AN6" i="38"/>
  <c r="AI6" i="38"/>
  <c r="Z6" i="38"/>
  <c r="AA6" i="38"/>
  <c r="AB6" i="38"/>
  <c r="Y6" i="38"/>
  <c r="U6" i="38"/>
  <c r="V6" i="38"/>
  <c r="W6" i="38"/>
  <c r="X6" i="38"/>
  <c r="T6" i="38"/>
  <c r="S6" i="38"/>
  <c r="R6" i="38"/>
  <c r="Q6" i="38"/>
  <c r="P6" i="38"/>
  <c r="O6" i="38"/>
  <c r="M6" i="38"/>
  <c r="N6" i="38"/>
  <c r="L6" i="38"/>
  <c r="K6" i="38"/>
  <c r="I6" i="38"/>
  <c r="J6" i="38"/>
  <c r="H6" i="38"/>
  <c r="C6" i="38"/>
  <c r="D6" i="38"/>
  <c r="E6" i="38"/>
  <c r="F6" i="38"/>
  <c r="G6" i="38"/>
  <c r="C30" i="1"/>
  <c r="BX6" i="38" s="1"/>
  <c r="C31" i="1"/>
  <c r="BY6" i="38" s="1"/>
  <c r="C32" i="1"/>
  <c r="BZ6" i="38" s="1"/>
  <c r="C33" i="1"/>
  <c r="CA6" i="38" s="1"/>
  <c r="C34" i="1"/>
  <c r="CB6" i="38" s="1"/>
  <c r="C12" i="1"/>
  <c r="BC6" i="38" s="1"/>
  <c r="C13" i="1"/>
  <c r="BD6" i="38" s="1"/>
  <c r="C14" i="1"/>
  <c r="BJ6" i="38" s="1"/>
  <c r="C15" i="1"/>
  <c r="BK6" i="38" s="1"/>
  <c r="C16" i="1"/>
  <c r="BL6" i="38" s="1"/>
  <c r="C17" i="1"/>
  <c r="BM6" i="38" s="1"/>
  <c r="C18" i="1"/>
  <c r="BN6" i="38" s="1"/>
  <c r="C19" i="1"/>
  <c r="BO6" i="38" s="1"/>
  <c r="C20" i="1"/>
  <c r="BP6" i="38" s="1"/>
  <c r="C21" i="1"/>
  <c r="BQ6" i="38" s="1"/>
  <c r="C22" i="1"/>
  <c r="BR6" i="38" s="1"/>
  <c r="C23" i="1"/>
  <c r="BS6" i="38" s="1"/>
  <c r="C24" i="1"/>
  <c r="BT6" i="38" s="1"/>
  <c r="C25" i="1"/>
  <c r="BU6" i="38" s="1"/>
  <c r="C26" i="1"/>
  <c r="BV6" i="38" s="1"/>
  <c r="AV6" i="38"/>
  <c r="AW6" i="38"/>
  <c r="AX6" i="38"/>
  <c r="AY6" i="38"/>
  <c r="AZ6" i="38"/>
  <c r="BA6" i="38"/>
  <c r="AP6" i="38"/>
  <c r="AQ6" i="38"/>
  <c r="AR6" i="38"/>
  <c r="AS6" i="38"/>
  <c r="AT6" i="38"/>
  <c r="AO6" i="38"/>
  <c r="AU6" i="38"/>
  <c r="C8" i="1"/>
  <c r="C7" i="1"/>
  <c r="G6" i="1"/>
  <c r="E6" i="1"/>
  <c r="C6" i="1"/>
  <c r="C5" i="1"/>
  <c r="C4" i="1"/>
  <c r="C11" i="1"/>
  <c r="BB6" i="38" s="1"/>
  <c r="C29" i="1"/>
  <c r="BW6" i="38" s="1"/>
  <c r="B8" i="8"/>
  <c r="B6" i="8"/>
  <c r="B81" i="23"/>
  <c r="B80" i="23"/>
  <c r="E60" i="3"/>
  <c r="E86" i="3"/>
  <c r="E94" i="3" s="1"/>
  <c r="E101" i="3" s="1"/>
  <c r="E110" i="3" s="1"/>
  <c r="E120" i="3" s="1"/>
  <c r="E143" i="3" s="1"/>
  <c r="E155" i="3" s="1"/>
  <c r="I16" i="9"/>
  <c r="I48" i="35"/>
  <c r="I47" i="35"/>
  <c r="I46" i="35"/>
  <c r="I45" i="35"/>
  <c r="I44" i="35"/>
  <c r="I43" i="35"/>
  <c r="I106" i="25"/>
  <c r="I105" i="25"/>
  <c r="I103" i="25"/>
  <c r="I102" i="25"/>
  <c r="I95" i="25"/>
  <c r="I218" i="8"/>
  <c r="I23" i="20"/>
  <c r="I22" i="20"/>
  <c r="I47" i="20"/>
  <c r="I88" i="30"/>
  <c r="I55" i="32"/>
  <c r="I54" i="32"/>
  <c r="I73" i="32"/>
  <c r="I156" i="23"/>
  <c r="I168" i="23"/>
  <c r="I9" i="30"/>
  <c r="I10" i="30"/>
  <c r="F52" i="32"/>
  <c r="F53" i="32"/>
  <c r="I87" i="30"/>
  <c r="I70" i="34"/>
  <c r="I55" i="34"/>
  <c r="I41" i="34"/>
  <c r="I33" i="9"/>
  <c r="I34" i="9"/>
  <c r="I35" i="9"/>
  <c r="I36" i="9"/>
  <c r="I37" i="9"/>
  <c r="I43" i="9"/>
  <c r="I32" i="9"/>
  <c r="I30" i="9"/>
  <c r="I6" i="9"/>
  <c r="I7" i="9"/>
  <c r="I8" i="9"/>
  <c r="I9" i="9"/>
  <c r="I10" i="9"/>
  <c r="I11" i="9"/>
  <c r="I12" i="9"/>
  <c r="I13" i="9"/>
  <c r="I5" i="9"/>
  <c r="I40" i="23"/>
  <c r="I64" i="23"/>
  <c r="I11" i="30"/>
  <c r="I68" i="34"/>
  <c r="I53" i="34"/>
  <c r="I36" i="34"/>
  <c r="I5" i="36"/>
  <c r="I30" i="36"/>
  <c r="I29" i="36"/>
  <c r="I36" i="36"/>
  <c r="I8" i="5"/>
  <c r="I7" i="5"/>
  <c r="I79" i="8"/>
  <c r="I232" i="8"/>
  <c r="I65" i="24"/>
  <c r="I76" i="24"/>
  <c r="I94" i="24"/>
  <c r="I95" i="24"/>
  <c r="I93" i="24"/>
  <c r="I44" i="25"/>
  <c r="I43" i="25"/>
  <c r="I56" i="25"/>
  <c r="I111" i="25"/>
  <c r="I148" i="25"/>
  <c r="I140" i="25"/>
  <c r="I153" i="25"/>
  <c r="I154" i="25"/>
  <c r="I155" i="25"/>
  <c r="I156" i="25"/>
  <c r="I157" i="25"/>
  <c r="I158" i="25"/>
  <c r="I159" i="25"/>
  <c r="I160" i="25"/>
  <c r="I128" i="25"/>
  <c r="I129" i="25"/>
  <c r="I130" i="25"/>
  <c r="I132" i="25"/>
  <c r="I133" i="25"/>
  <c r="I134" i="25"/>
  <c r="F88" i="24"/>
  <c r="F92" i="30"/>
  <c r="F93" i="30"/>
  <c r="I8" i="30"/>
  <c r="F51" i="34"/>
  <c r="F65" i="34"/>
  <c r="I9" i="25"/>
  <c r="I14" i="23"/>
  <c r="F74" i="33"/>
  <c r="F76" i="33"/>
  <c r="I80" i="25"/>
  <c r="I79" i="25"/>
  <c r="I78" i="25"/>
  <c r="I77" i="25"/>
  <c r="I61" i="25"/>
  <c r="I20" i="24"/>
  <c r="I37" i="5"/>
  <c r="I9" i="5"/>
  <c r="I42" i="20"/>
  <c r="I41" i="20"/>
  <c r="I6" i="32"/>
  <c r="I7" i="30"/>
  <c r="I6" i="30"/>
  <c r="I5" i="30"/>
  <c r="F56" i="5"/>
  <c r="F99" i="25"/>
  <c r="F34" i="34"/>
  <c r="F123" i="25"/>
  <c r="F51" i="5"/>
  <c r="I37" i="35"/>
  <c r="I35" i="35"/>
  <c r="I8" i="25"/>
  <c r="I11" i="25"/>
  <c r="I29" i="8"/>
  <c r="I52" i="5"/>
  <c r="I81" i="30"/>
  <c r="I39" i="5"/>
  <c r="I67" i="24"/>
  <c r="I91" i="24"/>
  <c r="E7" i="27"/>
  <c r="F7" i="27" s="1"/>
  <c r="E109" i="27"/>
  <c r="F109" i="27" s="1"/>
  <c r="E103" i="27"/>
  <c r="F103" i="27" s="1"/>
  <c r="E93" i="27"/>
  <c r="F93" i="27" s="1"/>
  <c r="OD6" i="38"/>
  <c r="PB6" i="38"/>
  <c r="E153" i="27"/>
  <c r="F153" i="27"/>
  <c r="D196" i="1"/>
  <c r="CM6" i="38" s="1"/>
  <c r="D208" i="1"/>
  <c r="CY6" i="38" s="1"/>
  <c r="D204" i="1"/>
  <c r="CU6" i="38" s="1"/>
  <c r="NO6" i="38"/>
  <c r="E104" i="27"/>
  <c r="F104" i="27" s="1"/>
  <c r="NT6" i="38"/>
  <c r="NH6" i="38"/>
  <c r="E96" i="27"/>
  <c r="F96" i="27" s="1"/>
  <c r="E112" i="27"/>
  <c r="F112" i="27" s="1"/>
  <c r="E95" i="27"/>
  <c r="F95" i="27" s="1"/>
  <c r="NX6" i="38"/>
  <c r="D195" i="1"/>
  <c r="CL6" i="38" s="1"/>
  <c r="D191" i="1"/>
  <c r="CH6" i="38" s="1"/>
  <c r="D203" i="1"/>
  <c r="CT6" i="38" s="1"/>
  <c r="C172" i="1"/>
  <c r="JT6" i="38" s="1"/>
  <c r="C170" i="1"/>
  <c r="JR6" i="38" s="1"/>
  <c r="I125" i="25"/>
  <c r="I131" i="25"/>
  <c r="I127" i="25"/>
  <c r="E49" i="27"/>
  <c r="F49" i="27"/>
  <c r="E75" i="27"/>
  <c r="F75" i="27"/>
  <c r="I10" i="25"/>
  <c r="E44" i="27"/>
  <c r="F44" i="27" s="1"/>
  <c r="E67" i="27"/>
  <c r="F67" i="27" s="1"/>
  <c r="E84" i="27"/>
  <c r="F84" i="27" s="1"/>
  <c r="C167" i="1"/>
  <c r="JO6" i="38" s="1"/>
  <c r="E128" i="27"/>
  <c r="F128" i="27" s="1"/>
  <c r="MB6" i="38"/>
  <c r="E194" i="1"/>
  <c r="DJ6" i="38" s="1"/>
  <c r="E206" i="1"/>
  <c r="DV6" i="38" s="1"/>
  <c r="E35" i="27"/>
  <c r="F35" i="27" s="1"/>
  <c r="E208" i="1"/>
  <c r="DX6" i="38" s="1"/>
  <c r="C151" i="1"/>
  <c r="JC6" i="38" s="1"/>
  <c r="E32" i="27"/>
  <c r="F32" i="27" s="1"/>
  <c r="E207" i="1"/>
  <c r="DW6" i="38" s="1"/>
  <c r="E195" i="1"/>
  <c r="DK6" i="38" s="1"/>
  <c r="E200" i="1"/>
  <c r="DP6" i="38" s="1"/>
  <c r="E188" i="1"/>
  <c r="DD6" i="38" s="1"/>
  <c r="C104" i="1"/>
  <c r="HR6" i="38" s="1"/>
  <c r="E148" i="27"/>
  <c r="F148" i="27" s="1"/>
  <c r="I12" i="20"/>
  <c r="OB6" i="38"/>
  <c r="I65" i="20"/>
  <c r="C97" i="1"/>
  <c r="HM6" i="38" s="1"/>
  <c r="E134" i="27"/>
  <c r="F134" i="27" s="1"/>
  <c r="OI6" i="38"/>
  <c r="OG6" i="38"/>
  <c r="I79" i="24"/>
  <c r="E38" i="27"/>
  <c r="F38" i="27" s="1"/>
  <c r="C157" i="1"/>
  <c r="JG6" i="38" s="1"/>
  <c r="C159" i="1"/>
  <c r="JI6" i="38" s="1"/>
  <c r="OE6" i="38"/>
  <c r="I71" i="24"/>
  <c r="E23" i="27"/>
  <c r="F23" i="27" s="1"/>
  <c r="E24" i="27"/>
  <c r="F24" i="27"/>
  <c r="E16" i="27"/>
  <c r="F16" i="27"/>
  <c r="E20" i="27"/>
  <c r="F20" i="27" s="1"/>
  <c r="E14" i="27"/>
  <c r="F14" i="27" s="1"/>
  <c r="I39" i="20"/>
  <c r="E15" i="27"/>
  <c r="F15" i="27" s="1"/>
  <c r="E147" i="27"/>
  <c r="F147" i="27"/>
  <c r="E142" i="27"/>
  <c r="F142" i="27" s="1"/>
  <c r="C86" i="1"/>
  <c r="HD6" i="38" s="1"/>
  <c r="C165" i="1"/>
  <c r="JM6" i="38" s="1"/>
  <c r="C135" i="27" l="1"/>
  <c r="C137" i="27"/>
  <c r="B4" i="3"/>
  <c r="B9" i="1"/>
  <c r="E105" i="27"/>
  <c r="F105" i="27" s="1"/>
  <c r="I25" i="9"/>
  <c r="C3" i="33"/>
  <c r="C100" i="1" s="1"/>
  <c r="HN6" i="38" s="1"/>
  <c r="C57" i="32"/>
  <c r="C81" i="1" s="1"/>
  <c r="HA6" i="38" s="1"/>
  <c r="C31" i="18"/>
  <c r="D188" i="1" s="1"/>
  <c r="CE6" i="38" s="1"/>
  <c r="C40" i="9"/>
  <c r="C183" i="1" s="1"/>
  <c r="KA6" i="38" s="1"/>
  <c r="E113" i="27"/>
  <c r="F113" i="27" s="1"/>
  <c r="C29" i="9"/>
  <c r="C182" i="1" s="1"/>
  <c r="JZ6" i="38" s="1"/>
  <c r="E106" i="27"/>
  <c r="F106" i="27" s="1"/>
  <c r="E102" i="27"/>
  <c r="F102" i="27" s="1"/>
  <c r="C18" i="9"/>
  <c r="C181" i="1" s="1"/>
  <c r="JY6" i="38" s="1"/>
  <c r="E101" i="27"/>
  <c r="F101" i="27" s="1"/>
  <c r="E98" i="27"/>
  <c r="F98" i="27" s="1"/>
  <c r="E94" i="27"/>
  <c r="F94" i="27" s="1"/>
  <c r="E92" i="27"/>
  <c r="F92" i="27" s="1"/>
  <c r="C3" i="35"/>
  <c r="C175" i="1" s="1"/>
  <c r="JU6" i="38" s="1"/>
  <c r="E47" i="27"/>
  <c r="F47" i="27" s="1"/>
  <c r="C3" i="25"/>
  <c r="C163" i="1" s="1"/>
  <c r="JK6" i="38" s="1"/>
  <c r="I7" i="25"/>
  <c r="C3" i="24"/>
  <c r="C155" i="1" s="1"/>
  <c r="JE6" i="38" s="1"/>
  <c r="C20" i="8"/>
  <c r="E187" i="1" s="1"/>
  <c r="DC6" i="38" s="1"/>
  <c r="C3" i="5"/>
  <c r="C132" i="1" s="1"/>
  <c r="IL6" i="38" s="1"/>
  <c r="C3" i="34"/>
  <c r="C118" i="1" s="1"/>
  <c r="IB6" i="38" s="1"/>
  <c r="C26" i="18"/>
  <c r="D187" i="1" s="1"/>
  <c r="CD6" i="38" s="1"/>
  <c r="E143" i="27"/>
  <c r="F143" i="27" s="1"/>
  <c r="C5" i="32"/>
  <c r="C77" i="1" s="1"/>
  <c r="GW6" i="38" s="1"/>
  <c r="NZ6" i="38"/>
  <c r="NY6" i="38"/>
  <c r="C2" i="20"/>
  <c r="C94" i="1" s="1"/>
  <c r="HJ6" i="38" s="1"/>
  <c r="I6" i="20"/>
  <c r="B112" i="3"/>
  <c r="B128" i="18"/>
  <c r="E140" i="27"/>
  <c r="F140" i="27" s="1"/>
  <c r="C152" i="8"/>
  <c r="C148" i="1" s="1"/>
  <c r="IZ6" i="38" s="1"/>
  <c r="E100" i="27"/>
  <c r="F100" i="27" s="1"/>
  <c r="E79" i="27"/>
  <c r="F79" i="27" s="1"/>
  <c r="E66" i="27"/>
  <c r="F66" i="27" s="1"/>
  <c r="I6" i="25"/>
  <c r="C168" i="8"/>
  <c r="C149" i="1" s="1"/>
  <c r="JA6" i="38" s="1"/>
  <c r="E204" i="1"/>
  <c r="DT6" i="38" s="1"/>
  <c r="E209" i="1"/>
  <c r="DY6" i="38" s="1"/>
  <c r="C138" i="18"/>
  <c r="C114" i="1" s="1"/>
  <c r="HZ6" i="38" s="1"/>
  <c r="D209" i="1"/>
  <c r="CZ6" i="38" s="1"/>
  <c r="OU6" i="38"/>
  <c r="B156" i="3"/>
  <c r="C65" i="32"/>
  <c r="C82" i="1" s="1"/>
  <c r="HB6" i="38" s="1"/>
  <c r="C158" i="23"/>
  <c r="C74" i="1" s="1"/>
  <c r="GV6" i="38" s="1"/>
  <c r="C78" i="23"/>
  <c r="C69" i="1" s="1"/>
  <c r="GQ6" i="38" s="1"/>
  <c r="C43" i="23"/>
  <c r="C66" i="1" s="1"/>
  <c r="GN6" i="38" s="1"/>
  <c r="C1" i="32"/>
  <c r="C76" i="1" s="1"/>
  <c r="C49" i="1" s="1"/>
  <c r="FY6" i="38" s="1"/>
  <c r="C18" i="32"/>
  <c r="C78" i="1" s="1"/>
  <c r="GX6" i="38" s="1"/>
  <c r="E138" i="27"/>
  <c r="F138" i="27" s="1"/>
  <c r="B22" i="18"/>
  <c r="H17" i="18" s="1"/>
  <c r="B14" i="25"/>
  <c r="B37" i="34"/>
  <c r="E18" i="27"/>
  <c r="F18" i="27" s="1"/>
  <c r="B23" i="18"/>
  <c r="H18" i="18" s="1"/>
  <c r="B154" i="3"/>
  <c r="C120" i="3"/>
  <c r="C110" i="3"/>
  <c r="C155" i="3"/>
  <c r="C101" i="3"/>
  <c r="C143" i="3"/>
  <c r="C94" i="3"/>
  <c r="C60" i="3"/>
  <c r="C86" i="3"/>
  <c r="B12" i="8"/>
  <c r="B198" i="8"/>
  <c r="B170" i="8"/>
  <c r="B124" i="8"/>
  <c r="B191" i="8"/>
  <c r="B145" i="8"/>
  <c r="B117" i="8"/>
  <c r="B184" i="8"/>
  <c r="B138" i="8"/>
  <c r="B110" i="8"/>
  <c r="B177" i="8"/>
  <c r="B131" i="8"/>
  <c r="B103" i="8"/>
  <c r="E39" i="27"/>
  <c r="F39" i="27" s="1"/>
  <c r="E41" i="27"/>
  <c r="F41" i="27" s="1"/>
  <c r="E34" i="27"/>
  <c r="F34" i="27" s="1"/>
  <c r="E36" i="27"/>
  <c r="F36" i="27" s="1"/>
  <c r="E9" i="27"/>
  <c r="F9" i="27" s="1"/>
  <c r="E8" i="27"/>
  <c r="F8" i="27" s="1"/>
  <c r="E139" i="27"/>
  <c r="F139" i="27" s="1"/>
  <c r="E59" i="27"/>
  <c r="F59" i="27" s="1"/>
  <c r="I126" i="25"/>
  <c r="E54" i="27"/>
  <c r="F54" i="27" s="1"/>
  <c r="E48" i="27"/>
  <c r="F48" i="27" s="1"/>
  <c r="E45" i="27"/>
  <c r="F45" i="27" s="1"/>
  <c r="E62" i="27"/>
  <c r="F62" i="27" s="1"/>
  <c r="E57" i="27"/>
  <c r="F57" i="27" s="1"/>
  <c r="E70" i="27"/>
  <c r="F70" i="27" s="1"/>
  <c r="E83" i="27"/>
  <c r="F83" i="27" s="1"/>
  <c r="MQ6" i="38"/>
  <c r="E46" i="27"/>
  <c r="F46" i="27" s="1"/>
  <c r="E58" i="27"/>
  <c r="F58" i="27" s="1"/>
  <c r="E74" i="27"/>
  <c r="F74" i="27" s="1"/>
  <c r="C6" i="8"/>
  <c r="C141" i="1" s="1"/>
  <c r="IS6" i="38" s="1"/>
  <c r="C32" i="8"/>
  <c r="C145" i="1" s="1"/>
  <c r="IW6" i="38" s="1"/>
  <c r="B137" i="1"/>
  <c r="B14" i="8"/>
  <c r="B124" i="1"/>
  <c r="B55" i="1"/>
  <c r="B154" i="1"/>
  <c r="B58" i="1"/>
  <c r="B162" i="1"/>
  <c r="B59" i="1"/>
  <c r="B131" i="1"/>
  <c r="B56" i="1"/>
  <c r="B117" i="1"/>
  <c r="B54" i="1"/>
  <c r="B99" i="1"/>
  <c r="B52" i="1"/>
  <c r="B179" i="1"/>
  <c r="B61" i="1"/>
  <c r="B174" i="1"/>
  <c r="B60" i="1"/>
  <c r="B107" i="1"/>
  <c r="B53" i="1"/>
  <c r="B93" i="1"/>
  <c r="B51" i="1"/>
  <c r="B84" i="1"/>
  <c r="B50" i="1"/>
  <c r="B63" i="1"/>
  <c r="B48" i="1"/>
  <c r="E89" i="27"/>
  <c r="F89" i="27" s="1"/>
  <c r="E91" i="27"/>
  <c r="F91" i="27" s="1"/>
  <c r="C3" i="9"/>
  <c r="C180" i="1" s="1"/>
  <c r="JX6" i="38" s="1"/>
  <c r="A8" i="38"/>
  <c r="A1" i="38"/>
  <c r="E31" i="27"/>
  <c r="F31" i="27" s="1"/>
  <c r="E29" i="27"/>
  <c r="F29" i="27" s="1"/>
  <c r="OC6" i="38"/>
  <c r="I12" i="5"/>
  <c r="E26" i="27"/>
  <c r="F26" i="27" s="1"/>
  <c r="E30" i="27"/>
  <c r="F30" i="27" s="1"/>
  <c r="E27" i="27"/>
  <c r="F27" i="27" s="1"/>
  <c r="B72" i="18"/>
  <c r="B24" i="18"/>
  <c r="H19" i="18" s="1"/>
  <c r="B129" i="18"/>
  <c r="B17" i="8"/>
  <c r="B133" i="18"/>
  <c r="B13" i="8"/>
  <c r="D94" i="3"/>
  <c r="B118" i="18"/>
  <c r="B38" i="18"/>
  <c r="B109" i="18"/>
  <c r="B143" i="8"/>
  <c r="B92" i="18"/>
  <c r="B124" i="18"/>
  <c r="B115" i="3"/>
  <c r="B160" i="3"/>
  <c r="B104" i="8"/>
  <c r="B146" i="8"/>
  <c r="B111" i="8"/>
  <c r="B44" i="8"/>
  <c r="B125" i="8"/>
  <c r="H1" i="30"/>
  <c r="H1" i="20"/>
  <c r="G118" i="27"/>
  <c r="B74" i="8"/>
  <c r="B139" i="8"/>
  <c r="B171" i="8"/>
  <c r="B42" i="18"/>
  <c r="B98" i="18"/>
  <c r="B118" i="8"/>
  <c r="B150" i="8"/>
  <c r="B178" i="8"/>
  <c r="B62" i="18"/>
  <c r="D101" i="3"/>
  <c r="H142" i="23"/>
  <c r="B52" i="18"/>
  <c r="B78" i="18"/>
  <c r="B102" i="18"/>
  <c r="B32" i="18"/>
  <c r="B58" i="18"/>
  <c r="B82" i="18"/>
  <c r="B16" i="8"/>
  <c r="B114" i="3"/>
  <c r="E5" i="27"/>
  <c r="F5" i="27" s="1"/>
  <c r="B28" i="18"/>
  <c r="B48" i="18"/>
  <c r="B68" i="18"/>
  <c r="B88" i="18"/>
  <c r="E212" i="1"/>
  <c r="B142" i="3"/>
  <c r="E222" i="1"/>
  <c r="B159" i="3"/>
  <c r="C136" i="3"/>
  <c r="C140" i="3"/>
  <c r="C38" i="1" s="1"/>
  <c r="EM6" i="38" s="1"/>
  <c r="B158" i="3"/>
  <c r="B185" i="8"/>
  <c r="B15" i="8"/>
  <c r="B113" i="3"/>
  <c r="B116" i="3"/>
  <c r="B74" i="3"/>
  <c r="B39" i="8"/>
  <c r="B90" i="8"/>
  <c r="B135" i="8"/>
  <c r="B157" i="3"/>
  <c r="B99" i="8"/>
  <c r="B60" i="8"/>
  <c r="H3" i="27"/>
  <c r="B37" i="8"/>
  <c r="B55" i="8"/>
  <c r="B71" i="8"/>
  <c r="B86" i="8"/>
  <c r="B101" i="8"/>
  <c r="B108" i="8"/>
  <c r="B132" i="8"/>
  <c r="B149" i="8"/>
  <c r="B175" i="8"/>
  <c r="B192" i="8"/>
  <c r="B26" i="8"/>
  <c r="B35" i="8"/>
  <c r="B51" i="8"/>
  <c r="B67" i="8"/>
  <c r="B82" i="8"/>
  <c r="B107" i="8"/>
  <c r="B22" i="8"/>
  <c r="B48" i="8"/>
  <c r="B64" i="8"/>
  <c r="B78" i="8"/>
  <c r="B94" i="8"/>
  <c r="B97" i="8"/>
  <c r="B159" i="8"/>
  <c r="B127" i="8"/>
  <c r="B180" i="8"/>
  <c r="C133" i="27"/>
  <c r="C3" i="27"/>
  <c r="C118" i="27"/>
  <c r="B164" i="8"/>
  <c r="B76" i="8"/>
  <c r="B46" i="8"/>
  <c r="B84" i="8"/>
  <c r="B53" i="8"/>
  <c r="B157" i="8"/>
  <c r="B92" i="8"/>
  <c r="B62" i="8"/>
  <c r="B24" i="8"/>
  <c r="B112" i="8"/>
  <c r="B33" i="18"/>
  <c r="B43" i="18"/>
  <c r="B53" i="18"/>
  <c r="B63" i="18"/>
  <c r="B73" i="18"/>
  <c r="B83" i="18"/>
  <c r="B93" i="18"/>
  <c r="B103" i="18"/>
  <c r="B108" i="18"/>
  <c r="B123" i="18"/>
  <c r="B126" i="8"/>
  <c r="B27" i="18"/>
  <c r="B37" i="18"/>
  <c r="B47" i="18"/>
  <c r="B57" i="18"/>
  <c r="B67" i="18"/>
  <c r="B77" i="18"/>
  <c r="B87" i="18"/>
  <c r="B97" i="18"/>
  <c r="B107" i="18"/>
  <c r="G3" i="27"/>
  <c r="H118" i="27"/>
  <c r="B196" i="8"/>
  <c r="H1" i="24"/>
  <c r="B35" i="35"/>
  <c r="B151" i="27" s="1"/>
  <c r="B155" i="8"/>
  <c r="G9" i="30"/>
  <c r="C4" i="30" s="1"/>
  <c r="C85" i="1" s="1"/>
  <c r="HC6" i="38" s="1"/>
  <c r="C10" i="27"/>
  <c r="H1" i="18"/>
  <c r="H1" i="8"/>
  <c r="H1" i="5"/>
  <c r="OF6" i="38"/>
  <c r="E126" i="27"/>
  <c r="F126" i="27" s="1"/>
  <c r="E130" i="27" s="1"/>
  <c r="FU6" i="38" s="1"/>
  <c r="E149" i="27"/>
  <c r="F149" i="27" s="1"/>
  <c r="OX6" i="38"/>
  <c r="C7" i="8"/>
  <c r="C142" i="1" s="1"/>
  <c r="IT6" i="38" s="1"/>
  <c r="C1" i="5"/>
  <c r="C131" i="1" s="1"/>
  <c r="C56" i="1" s="1"/>
  <c r="GF6" i="38" s="1"/>
  <c r="C17" i="18"/>
  <c r="C110" i="1" s="1"/>
  <c r="HV6" i="38" s="1"/>
  <c r="H1" i="36"/>
  <c r="H1" i="35"/>
  <c r="E52" i="27"/>
  <c r="F52" i="27" s="1"/>
  <c r="E111" i="27"/>
  <c r="F111" i="27" s="1"/>
  <c r="E90" i="27"/>
  <c r="F90" i="27" s="1"/>
  <c r="E40" i="27"/>
  <c r="F40" i="27" s="1"/>
  <c r="E108" i="27"/>
  <c r="F108" i="27" s="1"/>
  <c r="C8" i="8"/>
  <c r="C143" i="1" s="1"/>
  <c r="IU6" i="38" s="1"/>
  <c r="G18" i="8"/>
  <c r="I18" i="8"/>
  <c r="C1" i="20"/>
  <c r="C93" i="1" s="1"/>
  <c r="C51" i="1" s="1"/>
  <c r="GA6" i="38" s="1"/>
  <c r="C5" i="8"/>
  <c r="G156" i="23"/>
  <c r="C136" i="27"/>
  <c r="B135" i="18"/>
  <c r="B130" i="18"/>
  <c r="B110" i="18"/>
  <c r="B115" i="18"/>
  <c r="B120" i="18"/>
  <c r="B105" i="18"/>
  <c r="B100" i="18"/>
  <c r="B95" i="18"/>
  <c r="B90" i="18"/>
  <c r="B85" i="18"/>
  <c r="B80" i="18"/>
  <c r="B75" i="18"/>
  <c r="B70" i="18"/>
  <c r="B65" i="18"/>
  <c r="B60" i="18"/>
  <c r="B55" i="18"/>
  <c r="B50" i="18"/>
  <c r="B45" i="18"/>
  <c r="B40" i="18"/>
  <c r="B35" i="18"/>
  <c r="B30" i="18"/>
  <c r="B125" i="18"/>
  <c r="B25" i="18"/>
  <c r="H20" i="18" s="1"/>
  <c r="H1" i="34"/>
  <c r="H1" i="33"/>
  <c r="H1" i="25"/>
  <c r="H1" i="32"/>
  <c r="E97" i="27"/>
  <c r="F97" i="27" s="1"/>
  <c r="E28" i="27"/>
  <c r="F28" i="27" s="1"/>
  <c r="E145" i="27"/>
  <c r="F145" i="27" s="1"/>
  <c r="E121" i="27"/>
  <c r="F121" i="27" s="1"/>
  <c r="OA6" i="38"/>
  <c r="C4" i="8"/>
  <c r="C139" i="1" s="1"/>
  <c r="IQ6" i="38" s="1"/>
  <c r="C1" i="18"/>
  <c r="C107" i="1" s="1"/>
  <c r="C53" i="1" s="1"/>
  <c r="GC6" i="38" s="1"/>
  <c r="OJ6" i="38"/>
  <c r="E135" i="27"/>
  <c r="C19" i="18"/>
  <c r="C112" i="1" s="1"/>
  <c r="HX6" i="38" s="1"/>
  <c r="C1" i="25"/>
  <c r="C162" i="1" s="1"/>
  <c r="C59" i="1" s="1"/>
  <c r="GI6" i="38" s="1"/>
  <c r="C79" i="23"/>
  <c r="C70" i="1" s="1"/>
  <c r="GR6" i="38" s="1"/>
  <c r="C144" i="8"/>
  <c r="C203" i="1"/>
  <c r="B161" i="8"/>
  <c r="B154" i="8"/>
  <c r="B96" i="8"/>
  <c r="B89" i="8"/>
  <c r="B81" i="8"/>
  <c r="B73" i="8"/>
  <c r="B66" i="8"/>
  <c r="B59" i="8"/>
  <c r="B50" i="8"/>
  <c r="B43" i="8"/>
  <c r="B34" i="8"/>
  <c r="B21" i="8"/>
  <c r="B201" i="8"/>
  <c r="B187" i="8"/>
  <c r="B113" i="8"/>
  <c r="B106" i="8"/>
  <c r="B194" i="8"/>
  <c r="B148" i="8"/>
  <c r="B173" i="8"/>
  <c r="B141" i="8"/>
  <c r="B134" i="8"/>
  <c r="C57" i="8"/>
  <c r="C146" i="1" s="1"/>
  <c r="IX6" i="38" s="1"/>
  <c r="B115" i="8"/>
  <c r="B122" i="8"/>
  <c r="B140" i="8"/>
  <c r="B189" i="8"/>
  <c r="B29" i="18"/>
  <c r="B34" i="18"/>
  <c r="B39" i="18"/>
  <c r="B44" i="18"/>
  <c r="B49" i="18"/>
  <c r="B54" i="18"/>
  <c r="B59" i="18"/>
  <c r="B64" i="18"/>
  <c r="B69" i="18"/>
  <c r="B74" i="18"/>
  <c r="B79" i="18"/>
  <c r="B84" i="18"/>
  <c r="B89" i="18"/>
  <c r="B94" i="18"/>
  <c r="B99" i="18"/>
  <c r="B104" i="18"/>
  <c r="B119" i="18"/>
  <c r="B121" i="8"/>
  <c r="B129" i="8"/>
  <c r="B136" i="8"/>
  <c r="B182" i="8"/>
  <c r="B114" i="18"/>
  <c r="C1" i="24"/>
  <c r="C154" i="1" s="1"/>
  <c r="C58" i="1" s="1"/>
  <c r="GH6" i="38" s="1"/>
  <c r="C1" i="9"/>
  <c r="OZ6" i="38"/>
  <c r="C1" i="36"/>
  <c r="C124" i="1" s="1"/>
  <c r="C55" i="1" s="1"/>
  <c r="GE6" i="38" s="1"/>
  <c r="C1" i="33"/>
  <c r="C99" i="1" s="1"/>
  <c r="C52" i="1" s="1"/>
  <c r="GB6" i="38" s="1"/>
  <c r="C1" i="35"/>
  <c r="C174" i="1" s="1"/>
  <c r="C60" i="1" s="1"/>
  <c r="GJ6" i="38" s="1"/>
  <c r="KI6" i="38"/>
  <c r="C1" i="34"/>
  <c r="C117" i="1" s="1"/>
  <c r="C54" i="1" s="1"/>
  <c r="GD6" i="38" s="1"/>
  <c r="C18" i="18"/>
  <c r="C20" i="18"/>
  <c r="C113" i="1" s="1"/>
  <c r="HY6" i="38" s="1"/>
  <c r="C1" i="23"/>
  <c r="C63" i="1" s="1"/>
  <c r="C48" i="1" s="1"/>
  <c r="C80" i="23"/>
  <c r="C71" i="1" s="1"/>
  <c r="GS6" i="38" s="1"/>
  <c r="D3" i="27"/>
  <c r="D118" i="27"/>
  <c r="B23" i="8"/>
  <c r="B38" i="8"/>
  <c r="B45" i="8"/>
  <c r="B54" i="8"/>
  <c r="B61" i="8"/>
  <c r="B70" i="8"/>
  <c r="B75" i="8"/>
  <c r="B85" i="8"/>
  <c r="B91" i="8"/>
  <c r="B100" i="8"/>
  <c r="B156" i="8"/>
  <c r="B165" i="8"/>
  <c r="B163" i="8"/>
  <c r="B172" i="8"/>
  <c r="B181" i="8"/>
  <c r="B186" i="8"/>
  <c r="B195" i="8"/>
  <c r="B202" i="8"/>
  <c r="B200" i="8"/>
  <c r="B25" i="8"/>
  <c r="B36" i="8"/>
  <c r="B47" i="8"/>
  <c r="B52" i="8"/>
  <c r="B63" i="8"/>
  <c r="B68" i="8"/>
  <c r="B77" i="8"/>
  <c r="B83" i="8"/>
  <c r="B93" i="8"/>
  <c r="B174" i="8"/>
  <c r="B179" i="8"/>
  <c r="B188" i="8"/>
  <c r="B193" i="8"/>
  <c r="B105" i="8"/>
  <c r="B114" i="8"/>
  <c r="B119" i="8"/>
  <c r="B128" i="8"/>
  <c r="B133" i="8"/>
  <c r="B112" i="18"/>
  <c r="B117" i="18"/>
  <c r="B122" i="18"/>
  <c r="B127" i="18"/>
  <c r="OL6" i="38" l="1"/>
  <c r="E137" i="27"/>
  <c r="F137" i="27" s="1"/>
  <c r="E186" i="1"/>
  <c r="DB6" i="38" s="1"/>
  <c r="C10" i="8"/>
  <c r="C144" i="1" s="1"/>
  <c r="IV6" i="38" s="1"/>
  <c r="C1" i="8"/>
  <c r="C137" i="1" s="1"/>
  <c r="C57" i="1" s="1"/>
  <c r="GG6" i="38" s="1"/>
  <c r="C1" i="30"/>
  <c r="C84" i="1" s="1"/>
  <c r="C50" i="1" s="1"/>
  <c r="FZ6" i="38" s="1"/>
  <c r="C179" i="1"/>
  <c r="C61" i="1" s="1"/>
  <c r="GK6" i="38" s="1"/>
  <c r="C43" i="1"/>
  <c r="C37" i="1"/>
  <c r="EL6" i="38" s="1"/>
  <c r="D22" i="20"/>
  <c r="C3" i="8"/>
  <c r="C138" i="1" s="1"/>
  <c r="IP6" i="38" s="1"/>
  <c r="C140" i="1"/>
  <c r="IR6" i="38" s="1"/>
  <c r="E136" i="27"/>
  <c r="F136" i="27" s="1"/>
  <c r="E159" i="27" s="1"/>
  <c r="C44" i="1" s="1"/>
  <c r="OK6" i="38"/>
  <c r="KF6" i="38"/>
  <c r="E10" i="27"/>
  <c r="F10" i="27" s="1"/>
  <c r="E116" i="27" s="1"/>
  <c r="C42" i="1" s="1"/>
  <c r="E203" i="1"/>
  <c r="DS6" i="38" s="1"/>
  <c r="C87" i="8"/>
  <c r="C147" i="1" s="1"/>
  <c r="IY6" i="38" s="1"/>
  <c r="C111" i="1"/>
  <c r="HW6" i="38" s="1"/>
  <c r="C16" i="18"/>
  <c r="C109" i="1" s="1"/>
  <c r="HU6" i="38" s="1"/>
  <c r="FX6" i="38"/>
  <c r="C47" i="1" l="1"/>
  <c r="FW6" i="38" s="1"/>
  <c r="FV6" i="38"/>
  <c r="FT6" i="38"/>
</calcChain>
</file>

<file path=xl/sharedStrings.xml><?xml version="1.0" encoding="utf-8"?>
<sst xmlns="http://schemas.openxmlformats.org/spreadsheetml/2006/main" count="9898" uniqueCount="7273">
  <si>
    <t>0- GENERAL INFORMATION</t>
  </si>
  <si>
    <t>2-French</t>
  </si>
  <si>
    <t>Blood cultures</t>
  </si>
  <si>
    <t>Stool cultures</t>
  </si>
  <si>
    <t>Urine cultures</t>
  </si>
  <si>
    <t>Assessor 1 (last name and affiliation)</t>
  </si>
  <si>
    <t>Assessor 2 (last name and affiliation)</t>
  </si>
  <si>
    <t>Assessor 3 (last name and affiliation)</t>
  </si>
  <si>
    <t>Date of assessment (dd/mm/yyyy)</t>
  </si>
  <si>
    <t xml:space="preserve">Laboratory name </t>
  </si>
  <si>
    <t>Laboratory address</t>
  </si>
  <si>
    <t>0.1</t>
  </si>
  <si>
    <t>0.2</t>
  </si>
  <si>
    <t>0.3</t>
  </si>
  <si>
    <t>0.4</t>
  </si>
  <si>
    <t>LABORATORY FACILITY</t>
  </si>
  <si>
    <t>Observe the laboratory work benches, are they:</t>
  </si>
  <si>
    <t>Separate from patient care areas</t>
  </si>
  <si>
    <t>Organized with minimal clutter?</t>
  </si>
  <si>
    <t>Adequately ventilated?</t>
  </si>
  <si>
    <t>Free of excess moisture?</t>
  </si>
  <si>
    <t>Adequately lit?</t>
  </si>
  <si>
    <t>Comments</t>
  </si>
  <si>
    <t>Does the laboratory have a functional heating/air conditioning system?</t>
  </si>
  <si>
    <t>Is the temperature in the laboratory maintained between 20°-25°C?</t>
  </si>
  <si>
    <t>Observe the refrigerators and freezers where media and reagents are stored. Are they:</t>
  </si>
  <si>
    <t>Does the lab have an inventory control system in place?</t>
  </si>
  <si>
    <t>Standard: Testing services should not be subject to interruption due to stock outs. Laboratories should pursue all options for borrowing stock from another laboratory or referring samples to another testing facility while the stock out is being addressed.</t>
  </si>
  <si>
    <t>Please note: all questions refer only to clinical patient specimens, NOT to research specimens</t>
  </si>
  <si>
    <t>Is there evidence that specimen rejection criteria are enforced (review rejection log)?</t>
  </si>
  <si>
    <t>Collection technique</t>
  </si>
  <si>
    <t>Approved containers</t>
  </si>
  <si>
    <t>Min/Max volume</t>
  </si>
  <si>
    <t>Proper labeling</t>
  </si>
  <si>
    <t xml:space="preserve">Do records demonstrate that QC is performed on each newly reconstituted batch or newly received lot number/shipment of media? </t>
  </si>
  <si>
    <t xml:space="preserve">Do QC records for blood agar plates demonstrate that they are checked for their ability to show beta, alpha, and gamma hemolysis? </t>
  </si>
  <si>
    <t>Are tubed media, reagents, and kits stored at the temperatures indicated by the manufacturer?</t>
  </si>
  <si>
    <t>Shigella serogoup</t>
  </si>
  <si>
    <t>Salmonella serotype</t>
  </si>
  <si>
    <t>Agar dilution</t>
  </si>
  <si>
    <t>Are there written guidelines stating who is permitted to modify erroneous lab results after they have been reported?</t>
  </si>
  <si>
    <t>Who is permitted to modify erroneous lab results?</t>
  </si>
  <si>
    <t>When corrections to patient results are made, what is done with the erroneous result?</t>
  </si>
  <si>
    <t>Is a root cause analysis performed when unacceptable PT/EQA results are obtained? (Request to see a recent example)</t>
  </si>
  <si>
    <t>Is corrective action based on the findings of the root cause analysis documented?</t>
  </si>
  <si>
    <t xml:space="preserve">Is laboratory leadership notified of all unacceptable EQA results as soon as they are received? </t>
  </si>
  <si>
    <t>Blood</t>
  </si>
  <si>
    <t>Urine</t>
  </si>
  <si>
    <t>URINE CULTURE</t>
  </si>
  <si>
    <t>Does the laboratory have an SOP for how to process urine for bacterial culture? (request to see)</t>
  </si>
  <si>
    <t>Blood agar</t>
  </si>
  <si>
    <t xml:space="preserve">Are quantitative cultures (colony counts) performed? </t>
  </si>
  <si>
    <t>Which media are used for primary culture of stool?</t>
  </si>
  <si>
    <t>MacConkey or Eosin Methylene Blue agar</t>
  </si>
  <si>
    <t>Selective and differential screening agar for Salmonella and Shigella (e.g., Salmonella/Shigella agar, Hektoen Enteric agar, Xylose Lysine Deoxycholate agar, or Deoxycholate Citrate Agar)</t>
  </si>
  <si>
    <t>Salmonella spp.</t>
  </si>
  <si>
    <t>AUTOMATED ID METHODS</t>
  </si>
  <si>
    <t xml:space="preserve">Is the lab using the inoculation medium recommended by the manufacturer? </t>
  </si>
  <si>
    <t>KIT-BASED ID METHODS</t>
  </si>
  <si>
    <t>Is the SOP readily available** to bench staff?</t>
  </si>
  <si>
    <t>Does the SOP define QC organisms, QC frequency, and expected QC results?</t>
  </si>
  <si>
    <t>Does the SOP provide stepwise instructions for inoculation and incubation?</t>
  </si>
  <si>
    <t>Does the SOP provide stepwise instructions for reading and interpretation?</t>
  </si>
  <si>
    <t>What is the source of the plasma used for coagulase testing?</t>
  </si>
  <si>
    <t>Enterobacteriaceae</t>
  </si>
  <si>
    <t>Disk diffusion</t>
  </si>
  <si>
    <t xml:space="preserve">Is there evidence of such actions being taken? </t>
  </si>
  <si>
    <t>Is the microbiology lead or supervisor informed when unusual AST results are identified?</t>
  </si>
  <si>
    <t>Penicillin</t>
  </si>
  <si>
    <t>Ceftriaxone</t>
  </si>
  <si>
    <t>Cefotaxime</t>
  </si>
  <si>
    <t>Cefepime</t>
  </si>
  <si>
    <t>Acinetobacter spp</t>
  </si>
  <si>
    <t>Is standard safety equipment available and in use in the laboratory?</t>
  </si>
  <si>
    <t>Does lab policy prohibit eating, drinking, and smoking in the laboratory?</t>
  </si>
  <si>
    <t>Does lab policy require microbiology staff to wear close-toed shoes?</t>
  </si>
  <si>
    <t>Is PPE utilized appropriately and consistently by laboratory staff? (Observe)</t>
  </si>
  <si>
    <t>Meropenem</t>
  </si>
  <si>
    <t>Ertapenem</t>
  </si>
  <si>
    <t>Imipenem</t>
  </si>
  <si>
    <t>Modified Hodge test</t>
  </si>
  <si>
    <t>Laboratory Assessment of Antibiotic Resistance Testing Capacity</t>
  </si>
  <si>
    <t>Standard: Newly hired lab staff should be assessed for competency before performing independent duties and again within six months. All lab staff should be regularly assessed for testing competency at least once a year. Staff assigned to a new section should be assessed before fully assuming independent duties. When deficiencies are noted, retraining and reassessment should be planned and documented. If the employee’s competency remains below standard, further action might include supervisory review of work, re-assignment of duties, or other appropriate actions. Records of competency assessments and resulting actions should be retained in personnel files and/or quality records. Records should show which skills were assessed, how those skills were measured, and who performed the assessment.</t>
  </si>
  <si>
    <t>Standard: All reagent and test kits in use, as well as those in stock, should be within the manufacturer-assigned expiry dates. Expired stock should not be entered into use and should be documented before disposal.</t>
  </si>
  <si>
    <t>In the last 6 months, has prolonged power failure disrupted the ability to provide routine bacteriology services?</t>
  </si>
  <si>
    <t>Are all reconstituted reagents, such as coagulase plasma, within stability from the date of reconstitution? (Coagulase plasma expires 30 days after reconstitution when stored frozen).</t>
  </si>
  <si>
    <t>Does the laboratory use the same patient ID numbers assigned by the hospital and/or clinics?</t>
  </si>
  <si>
    <t>2: Combination of paper and electronic reporting</t>
  </si>
  <si>
    <t>3: Fully paper-based system</t>
  </si>
  <si>
    <t>1: Laboratory Information System (LIS)</t>
  </si>
  <si>
    <t>4: Combination of handwritten and electronic recording</t>
  </si>
  <si>
    <t>5: Internal results are not routinely recorded</t>
  </si>
  <si>
    <t>1: Printout from the Laboratory Information System</t>
  </si>
  <si>
    <t>2: Printout from the ID/AST instrument (e.g., Vitek, Phoenix, etc.)</t>
  </si>
  <si>
    <t>If the lab uses an automated AST instrument, describe the data flow between the LIS and the instrument software.</t>
  </si>
  <si>
    <t>1: Systems are not interfaced</t>
  </si>
  <si>
    <t>If yes, please record system name in comments</t>
  </si>
  <si>
    <t>Describe the internet service in the laboratory</t>
  </si>
  <si>
    <t>1: Continuous (service interruptions are rare) - 2: Sporadic (service interruptions are common) - 3: No internet available</t>
  </si>
  <si>
    <t>Does lab policy require that all specimens are accompanied by a laboratory-approved test requisition form?</t>
  </si>
  <si>
    <t>Date of specimen collection</t>
  </si>
  <si>
    <t>Time of specimen collection</t>
  </si>
  <si>
    <t>Does the lab enforce a two-identifier system? (e.g., both patient name and a numeric identifier must be present on the requisition and on the specimen).</t>
  </si>
  <si>
    <t>Patient Date of Birth or Age</t>
  </si>
  <si>
    <t>Date of specimen receipt</t>
  </si>
  <si>
    <t>Time of specimen receipt</t>
  </si>
  <si>
    <t>1: Yes - 2: Partial - 3: No</t>
  </si>
  <si>
    <t>Standard: ISO 15189: 5.4.1, 5.4.5, 5.4.7, 5.4.8, 5.4.10, 5.4.11, 5.4.13 Standard: ISO 15189: 5.2.9, 5.4.14, 5.7.3 Specimens should be stored under the appropriate conditions to maintain the stability of the specimen. Specimens no longer required should be disposed of in a safe manner, according to biosafety regulations</t>
  </si>
  <si>
    <t>Do records demonstrate that chemical indicators (e.g., heat sensitive tape) are used each time the autoclave is run? (Review logs to confirm)</t>
  </si>
  <si>
    <t xml:space="preserve">Are  media-specific SOPs in place for each type of media reconstituted in house? </t>
  </si>
  <si>
    <t>Examine the lab’s Mueller Hinton plates and SOP for the following:</t>
  </si>
  <si>
    <t xml:space="preserve">1: Sheep’s blood - 2: Human blood (e.g., from expired packed cells) - 3: Other source (please describe in comments) </t>
  </si>
  <si>
    <t>Do QC records for selective stool agar plates (e.g. XLD, SS, HE) demonstrate that they are checked for their ability to suppress the growth of Gram positive organisms?</t>
  </si>
  <si>
    <t>Check NA if the lab does not use MHB</t>
  </si>
  <si>
    <t>Check NA if lab does not use automated instrument</t>
  </si>
  <si>
    <t xml:space="preserve">Does the lab perform the disk diffusion method of AST? </t>
  </si>
  <si>
    <t>Does the lab use the gradient strip method of AST (Etest/Liofilechem)? (ungraded)</t>
  </si>
  <si>
    <t>Is gradient strip QC performed before placing new lot numbers/shipments into use? (Review QC records to confirm)</t>
  </si>
  <si>
    <t>1: Yes, for all QC results - 2: Yes, but only for some QC results - 3: No</t>
  </si>
  <si>
    <t>1: Erroneous results remain in place but are amended to reflect that they are erroneous - 2: Erroneous results are deleted from the record - 3: Other(explain in comments)</t>
  </si>
  <si>
    <t xml:space="preserve">On average, how long does the lab have to wait before receiving the results of their PT/EQA performance? </t>
  </si>
  <si>
    <t>Does the laboratory have an SOP describing how to process blood for bacterial culture?</t>
  </si>
  <si>
    <t>If the Gram stain from the bottle is positive, does the lab call the result to the physician immediately?</t>
  </si>
  <si>
    <t xml:space="preserve">When a positive blood culture broth is subcultured, is a chocolate plate included to ensure recovery of fastidious organisms? </t>
  </si>
  <si>
    <t>Does the lab perform AST on organisms that are possible contaminants?</t>
  </si>
  <si>
    <t>Are urines plated using a calibrated loop?</t>
  </si>
  <si>
    <t>1: Yes, 1µL  – 2: Yes, 10uL - 3: No, calibrated loops are not used to plate urines</t>
  </si>
  <si>
    <t xml:space="preserve">Are the following pathogens routinely targeted in every stool culture submitted? </t>
  </si>
  <si>
    <t xml:space="preserve">Is the lab using the inoculation media recommended by the manufacturer? </t>
  </si>
  <si>
    <t xml:space="preserve">Following incubation, are all supplemental reagents available and added according to manufacturer instructions? (e.g., VP1 &amp; 2 for API) </t>
  </si>
  <si>
    <t>Are the databases used to interpret the kit results (bionumbers) up to date?</t>
  </si>
  <si>
    <t>When an ID result (bionumber) does not reach the threshold for an acceptable identification, is there evidence that appropriate action is taken, such as repeating the test by another method or performing additional biochemical tests?</t>
  </si>
  <si>
    <t>Are negative slide coagulase results confirmed with a tube coagulase test before being reported?</t>
  </si>
  <si>
    <t>When the instrument software flags an ID result as questionable, is there evidence that appropriate action is taken, such as repeating the test by another method or performing additional biochemical tests?</t>
  </si>
  <si>
    <t>1: Always - 2:  Sometimes - 3: Never</t>
  </si>
  <si>
    <t>Do the antibiotic disks and strips come with a certificate of analysis from the manufacturer ensuring that they were tested and performed according to ISO quality standards?</t>
  </si>
  <si>
    <t>Are the packages not currently in use stored unopened and in their original packaging in order to prevent moisture ingress?</t>
  </si>
  <si>
    <t>Are unopened antibiotic disks and strips stored in a non-defrosting freezer?</t>
  </si>
  <si>
    <t>Do the desiccants change color as moisture levels increase (indicating the need to replace or recharge)?</t>
  </si>
  <si>
    <t>Are the containers holding open antibiotic disks/strips stored in a refrigerator or non-defrosting freezer when not in use?</t>
  </si>
  <si>
    <t xml:space="preserve">Observe an AST inoculum preparation. Do technologists use only individual, well-isolated colonies of the same morphological type? </t>
  </si>
  <si>
    <t>Are colonies taken only from non-selective media, such as blood agar  ( MacConkey agar is acceptable)</t>
  </si>
  <si>
    <t>Does the lab ever intentionally mix two different organisms in the same inoculum for AST?</t>
  </si>
  <si>
    <t>Is an appropriate, sterile inoculation medium (TSB or saline) used?</t>
  </si>
  <si>
    <t>Is the inoculum brought to a density equivalent to 0.5 McFarland?</t>
  </si>
  <si>
    <t>1: Calibrated densitometer/turbidity meter - 2: Visual comparison to a 0.5 McFarland standard that is not expired (check date) - 3 : Neither of the above</t>
  </si>
  <si>
    <t>Does the lab ever use agar other than Mueller Hinton for AST of non-fastidious organisms?</t>
  </si>
  <si>
    <t>Is the inoculum always used within 15 minutes of preparation?</t>
  </si>
  <si>
    <t>Observe a MH plate being inoculated.</t>
  </si>
  <si>
    <t>Before applying disks/strips, are inoculated MH plates allowed to sit, lid-ajar, for 3 to no more than 15 minutes to allow for absorption of excess surface moisture?</t>
  </si>
  <si>
    <t>Are disks/strips ever moved after being placed on the agar?</t>
  </si>
  <si>
    <t>Observe some currently incubating and/or recently read Mueller Hinton AST plates.</t>
  </si>
  <si>
    <t>Are AST plates incubated within 15 minutes of placing disks/strips?</t>
  </si>
  <si>
    <t>Are AST plates for non-fastidious organisms ever incubated in CO2?</t>
  </si>
  <si>
    <t>Are AST plates for S. pneumoniae incubated in 5% CO2?</t>
  </si>
  <si>
    <t>Are AST results ever read after less than 16 hours of incubation?</t>
  </si>
  <si>
    <t>Are AST results ever read after more than 24 hours of incubation?</t>
  </si>
  <si>
    <t>If individual colonies are apparent within the ellipsis or the zone of inhibition, does the lab repeat the test with a fresh subculture of a single colony from the original plate?</t>
  </si>
  <si>
    <t>Observe a Mueller Hinton AST plate being read.</t>
  </si>
  <si>
    <t>Is a ruler or a caliper with millimeter marks used to measure zone sizes ?</t>
  </si>
  <si>
    <t xml:space="preserve">Does the SOP or bench aide instruct that zone sizes and/or MIC endpoints for co-trimoxazole (SXT) are measured at 80% inhibition of growth, rather than 100%? </t>
  </si>
  <si>
    <t>Does the SOP or bench aide instruct how to measure zones of inhibition and/or MIC endpoints when Proteus spp. swarming is present?</t>
  </si>
  <si>
    <t>Is the automated AST instrument software up to date?</t>
  </si>
  <si>
    <t>Answer NA if the lab does not use automated AST instrument</t>
  </si>
  <si>
    <t>Is there evidence that appropriate actions are taken when the AST instrument software flags an AST result as questionable (such as checking for purity or repeating the test by another method)?</t>
  </si>
  <si>
    <t>Answer NA if the lab does not use automated instrument</t>
  </si>
  <si>
    <t xml:space="preserve">Do the AST SOPs or bench aides describe what actions to take when unusual or unexpected AST results are encountered (e.g., check purity, reconfirm organism ID, check relevant QC, repeat testing, notify supervisor)? </t>
  </si>
  <si>
    <t>Does a supervisor review all AST results for unusual findings before results are given to physicians ?</t>
  </si>
  <si>
    <t>Gradient Strip (e.g., Etest/Liofilchem)</t>
  </si>
  <si>
    <t>Broth microdilution (96-well tray)</t>
  </si>
  <si>
    <t>Broth macrodilultion (tube method)</t>
  </si>
  <si>
    <t>Does the lab use chromagar to detect antibiotic resistant organisms?</t>
  </si>
  <si>
    <t>CRE/Carbapenemases</t>
  </si>
  <si>
    <t>MRSA</t>
  </si>
  <si>
    <t>VRE</t>
  </si>
  <si>
    <t>Other, please specify in comments.</t>
  </si>
  <si>
    <t>Vitek</t>
  </si>
  <si>
    <t>Phoenix</t>
  </si>
  <si>
    <t>Microscan</t>
  </si>
  <si>
    <t>Salmonella spp</t>
  </si>
  <si>
    <t>Pseudomonas aeruginosa</t>
  </si>
  <si>
    <t>CSF</t>
  </si>
  <si>
    <t>1st generation cephalosporins (cefazolin, cephalothin, cephapririn, cephadrine)</t>
  </si>
  <si>
    <t>2nd generation cephalosporins (cefuroxime, cefonicid, cefamandole)</t>
  </si>
  <si>
    <t>Cephamycins (cefoxitin, cefotetan)</t>
  </si>
  <si>
    <t>Clindamycin</t>
  </si>
  <si>
    <t>Macrolides (Erythromycin, Azithromycin, Clarithromycin)</t>
  </si>
  <si>
    <t>Tetracyclines (Tetracycline, Minocycline, Doxycycline)</t>
  </si>
  <si>
    <t>Fluoroquinolones (Ciprofloxacin, Levofloxacin, Moxifloxacin)</t>
  </si>
  <si>
    <t>If no, answer NA to next question</t>
  </si>
  <si>
    <t>Clearly displays the inclusive date range (e.g. Jan 1, YYYY – Dec 31, YYYY)</t>
  </si>
  <si>
    <t>For each organism, the total N tested is displayed</t>
  </si>
  <si>
    <t>Is the lab able to de-duplicate the data, so that only the first isolate of a given species per patient, per analysis period is included, irrespective of the body site of recovery?</t>
  </si>
  <si>
    <t>Look at the piperacillin-tazobactam disks currently in use. Does the drug concentration correspond correctly to the standard in use? (CLSI breakpoints require 100/10ug disks, EUCAST breakpoints require 30/6ug disks).</t>
  </si>
  <si>
    <t>Aminoglycosides (gentamicin, tobramycin, amikacin)</t>
  </si>
  <si>
    <t>Enterobacteriaceae and Aztreonam</t>
  </si>
  <si>
    <t>Enterobacteriaceae and Cefotaxime</t>
  </si>
  <si>
    <t>Enterobacteriaceae and Ceftriaxone</t>
  </si>
  <si>
    <t>Enterobacteriaceae and Ceftazidime</t>
  </si>
  <si>
    <t>Enterobacteriaceae and Cefepime</t>
  </si>
  <si>
    <t>Enterobacteriaceae and Imipenem</t>
  </si>
  <si>
    <t>Enterobacteriaceae and Meropenem</t>
  </si>
  <si>
    <t>Enterobacteriaceae and Ertapenem</t>
  </si>
  <si>
    <t>Enterobacteriaceae and Doripenem</t>
  </si>
  <si>
    <t>Acinetobacter and Imipenem</t>
  </si>
  <si>
    <t>Acinetobacter and Meropenem</t>
  </si>
  <si>
    <t>Acinetobacter and Doripenem</t>
  </si>
  <si>
    <t>Pseudomonas and Cefepime</t>
  </si>
  <si>
    <t>Pseudomonas and Piperacillin</t>
  </si>
  <si>
    <t>Pseudomonas and Piperacillin-Tazobactam</t>
  </si>
  <si>
    <t>Pseudomonas and Ticarcillin-Clavulanate</t>
  </si>
  <si>
    <t>Pseudomonas and Imipenem</t>
  </si>
  <si>
    <t>Pseudomonas and Meropenem</t>
  </si>
  <si>
    <t>Does the phenotypic ESBL method include testing both cefotaxime (or ceftriaxone) AND ceftazidime alone and in combination with clavulanic acid?</t>
  </si>
  <si>
    <t>Do records indicate that lab uses both positive and negative control organisms to QC the ESBL test in use? (A commonly used ESBL positive strain is Klebsiella pneumoniae ATCC 700603)</t>
  </si>
  <si>
    <t>Biochemical (colorimetric) test, e.g. CarbaNP, BCT, or β CARBA</t>
  </si>
  <si>
    <t>Which methods does the lab use for colistin AST? (Check all that apply)</t>
  </si>
  <si>
    <t>Gradient strip (e.g., Etest/Liofilchem)</t>
  </si>
  <si>
    <t>Automated instrument (e.g., Vitek/Phoenix)</t>
  </si>
  <si>
    <t>Colistin Broth Disk Elution (CBDE) Test</t>
  </si>
  <si>
    <t>Do records indicate that quality control for colistin AST is performed on either a weekly basis or each time the test is performed?</t>
  </si>
  <si>
    <t>Do records indicate that lab uses both susceptible and resistant organisms to QC the colistin test in use? (E.coli NCTC 13846 is recommended to detect low level resistance)</t>
  </si>
  <si>
    <t>When colistin resistance is detected, are any of the following notified?</t>
  </si>
  <si>
    <t>Lab supervisor</t>
  </si>
  <si>
    <t>Infection Control team</t>
  </si>
  <si>
    <t>Infectious Disease team</t>
  </si>
  <si>
    <t>When colistin resistance is detected, is the isolate sent to a reference lab for molecular characterization (e.g., testing for mcr genes)?</t>
  </si>
  <si>
    <t>If the lab performs broth microdilution (BMD) for colistin AST, is cation-adjusted Mueller Hinton broth used?</t>
  </si>
  <si>
    <t>Answer NA if the lab does not perform BMD</t>
  </si>
  <si>
    <t>Does the lab use Oxacillin disks to test for MRSA?</t>
  </si>
  <si>
    <t>Does the lab use vancomycin disks to test for VISA/VRSA?</t>
  </si>
  <si>
    <t xml:space="preserve">Answer NA if vancomycin not tested </t>
  </si>
  <si>
    <t>Is the plate illuminated adequately with reflected light?</t>
  </si>
  <si>
    <t>Are zones measured where growth is inhibited (as opposed to the zone of hemolysis)?</t>
  </si>
  <si>
    <t>Are there no more than 4 disks per 100mm plate or 9 disks per 150mm plate?</t>
  </si>
  <si>
    <t>Is the upper surface of the agar read with the cover removed?</t>
  </si>
  <si>
    <t>If the lab uses an oxacillin disk (1ug) to screen for penicillin resistance in Strep. pneumoniae, what does the lab’s SOP instruct when the zone size measures &lt;19? (Referring to penicillin G or Benzylpenicillin, the IV formulation)</t>
  </si>
  <si>
    <t>1: Report penicillin resistant - 2: Perform additional testing using a penicillin MIC method - NA: lab does not perform oxacillin screen</t>
  </si>
  <si>
    <t>Amoxicillin</t>
  </si>
  <si>
    <t>Cefuroxime</t>
  </si>
  <si>
    <t>Ceftriaxone and/or Cefotaxime</t>
  </si>
  <si>
    <t>Do records indicate that quality control for ICR testing is done either on a weekly basis or each time the test is performed?</t>
  </si>
  <si>
    <t>Do records indicate that lab uses both positive and negative control organisms to QC the ICR test in use? (Commonly used ICR positive strain is S.aureus ATCC BAA-977)</t>
  </si>
  <si>
    <t xml:space="preserve">When the ICR test is positive, is the clindamycin result changed to resistant? </t>
  </si>
  <si>
    <t>Enterococcus spp</t>
  </si>
  <si>
    <t xml:space="preserve">Standard: It is the responsibility of laboratory management to ensure the laboratory is equipped with standard safety equipment. The list above is a partial list of necessary items. Biosafety cabinets should be in place and in use and all centrifuges should have covers. Hand washing stations should be designated and equipped and eyewash stations (or an acceptable alternative method of eye cleansing) should be available and operable. Spill kits and first aid kits should be kept in a designated place and checked regularly for readiness. </t>
  </si>
  <si>
    <t>Standard: ISO 15189: 5.2.10  All syringes, needles, lancets, or other bloodletting devices capable of transmitting infection must be used only once and discarded in puncture resistant containers that are not overfilled. Sharps containers should be clearly marked to warn handlers of the potential hazard and should be located in areas where sharps are commonly used.</t>
  </si>
  <si>
    <t>Standard: A biosafety cabinet should be used for to prevent aerosol exposure to contagious specimens or organisms. For proper functioning and full protection, biosafety cabinets require periodic maintenance and should be serviced accordingly.</t>
  </si>
  <si>
    <t>Standard: Management is responsible to provide appropriate personal protective equipment— gloves, lab coats, eye protection, shields, etc. — in useable condition. Laboratory staff must utilize personal protective equipment in the laboratory at all times. Protective clothing should not be worn outside the laboratory. Gloves should be replaced immediately when torn or contaminated and not washed for reuse</t>
  </si>
  <si>
    <t>Title/Position</t>
  </si>
  <si>
    <t>1: All - 2: Some - 3: None</t>
  </si>
  <si>
    <t>When a blood culture bottle shows signs of positivity, (turbidity, hemolysis, or gas production), does the lab perform a Gram stain of the bottle broth?</t>
  </si>
  <si>
    <t xml:space="preserve">After 24 hours of incubation, subculture all bottles that appear negative  </t>
  </si>
  <si>
    <t>After 48 hours of incubation, subculture all bottles that appear negative again (if the first subculture was negative)</t>
  </si>
  <si>
    <t>On the final day of incubation, perform a terminal subculture before the final negative report is issued</t>
  </si>
  <si>
    <t>Does the SOP provide stepwise instructions for how to perform the test correctly?</t>
  </si>
  <si>
    <t>Does the SOP provide stepwise instructions for interpreting the test result correctly?</t>
  </si>
  <si>
    <t>1: Always - 2:  Sometimes - 3: No - NA, lab does not use latex agglutination to identify Staph</t>
  </si>
  <si>
    <t>If the Optochin result is equivocal (9-13mm), is bile solubility or other additional testing performed to confirm the ID?</t>
  </si>
  <si>
    <t>Do the AST SOPs or bench aides provide examples of intrinsic resistance patterns? (Such as those found in CLSI M100 Appendix B or EUCAST Expert Rules V3.1)</t>
  </si>
  <si>
    <t>Do the AST SOPs or bench aides define examples of unusual or unexpected AST results? (Such as those found in CLSI M100 Appendix A or EUCAST Expert Rules V3.1)</t>
  </si>
  <si>
    <t>Pseudomonas and Doripenem</t>
  </si>
  <si>
    <t>Labs that do NOT use current aztreonam and cephalosporin breakpoints should attach a warning comment to the report for ESBL positive organisms: “ESBL-producers should be considered clinically resistant to all penicillins, cephalosporins, and aztreonam.” Is this practice in place?</t>
  </si>
  <si>
    <t>Modified carbapenem inactivation method (MCIM)</t>
  </si>
  <si>
    <t>1: Report the oxacillin interpretation, regardless of what the cefoxitin result is - 2: Report the cefoxitin interpretation, regardless of what the oxacillin result is - 3: If either drug tests R, report the result as R - NA: the lab only tests one of these drugs, not both</t>
  </si>
  <si>
    <t>Answer NA if manual MIC method not used</t>
  </si>
  <si>
    <t xml:space="preserve">To be completed if there is no record of another safety audit in the past 12 months. This is not intended to be a comprehensive safety audit. </t>
  </si>
  <si>
    <t>Email address</t>
  </si>
  <si>
    <t>2. Chromogenic agar designed for urine specimens</t>
  </si>
  <si>
    <t>City</t>
  </si>
  <si>
    <t>4. Other, describe</t>
  </si>
  <si>
    <t>Is this reagent in use in your lab? (If No, select N/A for the remaining questions about this reagent)</t>
  </si>
  <si>
    <t>Has an up-to-date SOP been fully implemented?* (If the reagent is in use but there is no SOP, answer "no" to all remaining questions about this reagent)</t>
  </si>
  <si>
    <t>Is this test in use in your lab? (If No, select N/A for the remaining questions about this reagent)</t>
  </si>
  <si>
    <t>Ampicillin</t>
  </si>
  <si>
    <t>Antibiotic Susceptibility Testing</t>
  </si>
  <si>
    <t>1: Systems are not currently interfaced</t>
  </si>
  <si>
    <t>2: Bidirectional: Patient information (e.g., medical record number, specimen number, specimen type) flows from the LIS into the instrument software, AND results (ID and AST) flow from the instrument software back into the LIS.</t>
  </si>
  <si>
    <t>3: Uni-directional: Patient information flows from the LIS into the instrument software, but results do not transmit back into the LIS</t>
  </si>
  <si>
    <t>4: Uni-directional: Results transmit from the instrument software into the LIS, but patient information cannot flow from the LIS into the instrument software.</t>
  </si>
  <si>
    <t xml:space="preserve">2: Bidirectional: Patient information (e.g., demographics, lab orders) flows from the HIS into the LIS, AND patient microbiology (ID/AST) results flow from the LIS back into the HIS. </t>
  </si>
  <si>
    <t xml:space="preserve">3: Uni-directional: Patient demographics transmit from the HIS into the LIS, but patient results do not transmit back into the HIS </t>
  </si>
  <si>
    <t xml:space="preserve">4: Uni-directional: Patient results transmit from the LIS into the HIS, but patient demographics cannot transmit from the HIS into the LIS. </t>
  </si>
  <si>
    <t xml:space="preserve">NA: no LIS or no HIS </t>
  </si>
  <si>
    <t>Are media quality controlled by using ATCC or ATCC-derivative strains?</t>
  </si>
  <si>
    <t>MacConkey (MAC) and Eosin methylene blue (EMB) agars contain bile salts and/or dyes that are toxic for Gram positive bacteria when made properly. Do QC records for MAC and/or EMB plates demonstrate that each batch/lot is challenged using a Gram positive organism?</t>
  </si>
  <si>
    <t>Do records indicate that quality control for ESBL testing is done either on a weekly basis or each time the test is performed?</t>
  </si>
  <si>
    <t>Other disk method, e.g., combination disk test or double disk synergy</t>
  </si>
  <si>
    <t>Chromogenic agar specific for carbapenemase producers</t>
  </si>
  <si>
    <t>Organism Identification</t>
  </si>
  <si>
    <t>Does the lab possess a valid (current) ISO 15189 accreditation certificate for any of the following tests? (Confirm by reviewing certificate)</t>
  </si>
  <si>
    <t>1: Yes - 2: No action is documented - 3: Temperatures are not recorded </t>
  </si>
  <si>
    <t>1: Yes - 2: Some, but would like additional training - 3: No training documented</t>
  </si>
  <si>
    <t>1: Yes - 2: Some, but would like additional training - 3: No</t>
  </si>
  <si>
    <t>Contact information of the relevant bacteriology laboratory leadership; e.g., Director, Manager, Supervisor, Section Head, Quality Officer</t>
  </si>
  <si>
    <t>Country</t>
  </si>
  <si>
    <t xml:space="preserve">Laboratory/Hospital name </t>
  </si>
  <si>
    <t>Address</t>
  </si>
  <si>
    <t>District</t>
  </si>
  <si>
    <t>Primary Laboratory affiliation</t>
  </si>
  <si>
    <t>Primary Laboratory/Facility funding sources</t>
  </si>
  <si>
    <t>4. Other</t>
  </si>
  <si>
    <t>Laboratory/Facility Level (if primarily government funded)</t>
  </si>
  <si>
    <t>Province</t>
  </si>
  <si>
    <t xml:space="preserve">2. Regional </t>
  </si>
  <si>
    <t>1. National</t>
  </si>
  <si>
    <t>4. District</t>
  </si>
  <si>
    <t>5. NA</t>
  </si>
  <si>
    <t>0.5</t>
  </si>
  <si>
    <t>0.6</t>
  </si>
  <si>
    <t>0.7</t>
  </si>
  <si>
    <t>0.8</t>
  </si>
  <si>
    <t>0.9</t>
  </si>
  <si>
    <t>0.10</t>
  </si>
  <si>
    <t>0.11</t>
  </si>
  <si>
    <t>0.12</t>
  </si>
  <si>
    <t>Free of staff food items?</t>
  </si>
  <si>
    <t>Free of patient samples?</t>
  </si>
  <si>
    <t>Well organized and free of clutter?</t>
  </si>
  <si>
    <t>Note: Intrinsic resistance is defined as inherent or innate (not acquired) resistance which is reflected in the wild-type of all representatives of a species; e.g., Citrobacter spp. and Klebsiella spp. are intrinsically (naturally) resistant to ampicillin</t>
  </si>
  <si>
    <t>1- FACILITY</t>
  </si>
  <si>
    <t>According to the SOP, which media are used for primary culture of urine?</t>
  </si>
  <si>
    <t>ACCREDITATION and CERTIFICATION</t>
  </si>
  <si>
    <t>#</t>
  </si>
  <si>
    <t>MIC Strip test, e.g., Etest KPC, MBL or Liofilchem MRP/MBO, ETP/EBO</t>
  </si>
  <si>
    <t>When a carbapenemase producer is detected, is it noted on the final report to the clinician?</t>
  </si>
  <si>
    <t>When a carbapenemase producer is detected, is infection control notified by the lab?</t>
  </si>
  <si>
    <t>Broth microdilution (BMD) with Polysorbate 80</t>
  </si>
  <si>
    <t>Broth microdilution (BMD) without Polysorbate 80</t>
  </si>
  <si>
    <t>Look at the ceftazidime disks currently in use. Does the drug concentration correspond correctly to the standard in use? (CLSI breakpoints require 30ug disks, EUCAST breakpoints require 10ug)</t>
  </si>
  <si>
    <t>ACINETOBACTER SPP, CONVENTIONAL ID METHODS</t>
  </si>
  <si>
    <t>ENTEROBACTERIACEAE, CONVENTIONAL ID METHODS</t>
  </si>
  <si>
    <t>STREPTOCOCCUS PNEUMONIAE, CONVENTIONAL ID METHODS</t>
  </si>
  <si>
    <t>Has the lab educated the medical staff about the current limitations and risks associated with colistin AST?</t>
  </si>
  <si>
    <t>1: Supervisors and/or persons with supervisory permission - 2: All microbiologists</t>
  </si>
  <si>
    <t xml:space="preserve">Do records indicate that lab uses both positive and negative control organisms to QC the carbapenemase test in use? </t>
  </si>
  <si>
    <t xml:space="preserve">If the lab uses broth microdilution for colistin AST, is colistin sulfate used, not colistin methane sulfonate (sulfomethate)? </t>
  </si>
  <si>
    <t>After AST inoculation, are “purity plates” made from the remaining suspension?</t>
  </si>
  <si>
    <t>A purity plate is a light subculture of the inoculum that is made to ensure the inoculum was not mixed or contaminated; usually streaked like a urine to ensure visualization of individual colonies and checked for purity when reading AST results</t>
  </si>
  <si>
    <t xml:space="preserve">Does the lab possess a guidance document with photos describing how to measure gradient strip endpoints? </t>
  </si>
  <si>
    <t xml:space="preserve">Does the SOP for blood cultures appropriately define which organisms are commonly considered contaminants? </t>
  </si>
  <si>
    <t>E.g.,  Corynebacterium spp., Propionibacterium spp., Micrococcus spp., viridans Strep spp., Bacillus spp., and coagulase-negative Staph spp. isolated from only one culture</t>
  </si>
  <si>
    <t>Does the SOP describe how to identify potential pathogens on all primary media?</t>
  </si>
  <si>
    <t>1: Within the past 2 years - 2: More than 2 years ago - 3: NA</t>
  </si>
  <si>
    <t>1.1</t>
  </si>
  <si>
    <t>1.2</t>
  </si>
  <si>
    <t>1.3</t>
  </si>
  <si>
    <t>1.4</t>
  </si>
  <si>
    <t>1.5</t>
  </si>
  <si>
    <t>1.6</t>
  </si>
  <si>
    <t>1.7</t>
  </si>
  <si>
    <t>1.8</t>
  </si>
  <si>
    <t>1.10</t>
  </si>
  <si>
    <t>1.11</t>
  </si>
  <si>
    <t>1.12</t>
  </si>
  <si>
    <t>1.13</t>
  </si>
  <si>
    <t>1.14</t>
  </si>
  <si>
    <t>1.15</t>
  </si>
  <si>
    <t>1.24</t>
  </si>
  <si>
    <t>1.25</t>
  </si>
  <si>
    <t>1.26</t>
  </si>
  <si>
    <t>1.28</t>
  </si>
  <si>
    <t>1.29</t>
  </si>
  <si>
    <t>1.30</t>
  </si>
  <si>
    <t>1.31</t>
  </si>
  <si>
    <t>1.32</t>
  </si>
  <si>
    <t>1.33</t>
  </si>
  <si>
    <t>1.34</t>
  </si>
  <si>
    <t>1.35</t>
  </si>
  <si>
    <t>1.36</t>
  </si>
  <si>
    <t>1.37</t>
  </si>
  <si>
    <t>1.38</t>
  </si>
  <si>
    <t>1.39</t>
  </si>
  <si>
    <t>1.40</t>
  </si>
  <si>
    <t>1.42</t>
  </si>
  <si>
    <t>1.43</t>
  </si>
  <si>
    <t>1.44</t>
  </si>
  <si>
    <t>1.45</t>
  </si>
  <si>
    <t>1.46</t>
  </si>
  <si>
    <t>1.47</t>
  </si>
  <si>
    <t>1.48</t>
  </si>
  <si>
    <t>1.49</t>
  </si>
  <si>
    <t>1.50</t>
  </si>
  <si>
    <t>1.51</t>
  </si>
  <si>
    <t>1.52</t>
  </si>
  <si>
    <t>1.53</t>
  </si>
  <si>
    <t>2.1</t>
  </si>
  <si>
    <t>2.2</t>
  </si>
  <si>
    <t>2.3</t>
  </si>
  <si>
    <t>2.4</t>
  </si>
  <si>
    <t>2.5</t>
  </si>
  <si>
    <t>2.6</t>
  </si>
  <si>
    <t>2.9</t>
  </si>
  <si>
    <t>2.10</t>
  </si>
  <si>
    <t>2.11</t>
  </si>
  <si>
    <t>2.12</t>
  </si>
  <si>
    <t>2.13</t>
  </si>
  <si>
    <t>2.14</t>
  </si>
  <si>
    <t>2.15</t>
  </si>
  <si>
    <t>2.16</t>
  </si>
  <si>
    <t>2.17</t>
  </si>
  <si>
    <t>2.18</t>
  </si>
  <si>
    <t>2.19</t>
  </si>
  <si>
    <t>2.20</t>
  </si>
  <si>
    <t>2.22</t>
  </si>
  <si>
    <t>2.23</t>
  </si>
  <si>
    <t>2.24</t>
  </si>
  <si>
    <t>2.25</t>
  </si>
  <si>
    <t>2.26</t>
  </si>
  <si>
    <t>2.27</t>
  </si>
  <si>
    <t>2.28</t>
  </si>
  <si>
    <t>2.29</t>
  </si>
  <si>
    <t>2.30</t>
  </si>
  <si>
    <t>2.31</t>
  </si>
  <si>
    <t>2.32</t>
  </si>
  <si>
    <t>2.33</t>
  </si>
  <si>
    <t>2.34</t>
  </si>
  <si>
    <t>2.35</t>
  </si>
  <si>
    <t>2.36</t>
  </si>
  <si>
    <t>2.37</t>
  </si>
  <si>
    <t>2.38</t>
  </si>
  <si>
    <t>3.1</t>
  </si>
  <si>
    <t>3.2</t>
  </si>
  <si>
    <t>3.3</t>
  </si>
  <si>
    <t>3.4</t>
  </si>
  <si>
    <t>3.5</t>
  </si>
  <si>
    <t>3.6</t>
  </si>
  <si>
    <t>3.8</t>
  </si>
  <si>
    <t>3.9</t>
  </si>
  <si>
    <t>3.7</t>
  </si>
  <si>
    <t>3.10</t>
  </si>
  <si>
    <t>3.11</t>
  </si>
  <si>
    <t>3.12</t>
  </si>
  <si>
    <t>3.13</t>
  </si>
  <si>
    <t>3.14</t>
  </si>
  <si>
    <t>3.15</t>
  </si>
  <si>
    <t>3.16</t>
  </si>
  <si>
    <t>3.17</t>
  </si>
  <si>
    <t>3.18</t>
  </si>
  <si>
    <t>3.19</t>
  </si>
  <si>
    <t>3.20</t>
  </si>
  <si>
    <t>3.21</t>
  </si>
  <si>
    <t>3.22</t>
  </si>
  <si>
    <t>3.23</t>
  </si>
  <si>
    <t>3.26</t>
  </si>
  <si>
    <t>3.27</t>
  </si>
  <si>
    <t>3.28</t>
  </si>
  <si>
    <t>3.29</t>
  </si>
  <si>
    <t>3.30</t>
  </si>
  <si>
    <t>3.31</t>
  </si>
  <si>
    <t>3.32</t>
  </si>
  <si>
    <t>3.33</t>
  </si>
  <si>
    <t>3.34</t>
  </si>
  <si>
    <t>3.35</t>
  </si>
  <si>
    <t>3.36</t>
  </si>
  <si>
    <t>3.37</t>
  </si>
  <si>
    <t>3.38</t>
  </si>
  <si>
    <t>3.39</t>
  </si>
  <si>
    <t>3.40</t>
  </si>
  <si>
    <t>3.41</t>
  </si>
  <si>
    <t>3.42</t>
  </si>
  <si>
    <t>4.1</t>
  </si>
  <si>
    <t>4.2</t>
  </si>
  <si>
    <t>4.3</t>
  </si>
  <si>
    <t>4.4</t>
  </si>
  <si>
    <t>4.5</t>
  </si>
  <si>
    <t>4.6</t>
  </si>
  <si>
    <t>4.9</t>
  </si>
  <si>
    <t>4.10</t>
  </si>
  <si>
    <t>4.11</t>
  </si>
  <si>
    <t>4.12</t>
  </si>
  <si>
    <t>4.13</t>
  </si>
  <si>
    <t>4.14</t>
  </si>
  <si>
    <t>4.15</t>
  </si>
  <si>
    <t>4.16</t>
  </si>
  <si>
    <t>4.18</t>
  </si>
  <si>
    <t>4.19</t>
  </si>
  <si>
    <t>4.20</t>
  </si>
  <si>
    <t>4.22</t>
  </si>
  <si>
    <t>4.23</t>
  </si>
  <si>
    <t>4.26</t>
  </si>
  <si>
    <t>4.29</t>
  </si>
  <si>
    <t>4.30</t>
  </si>
  <si>
    <t>4.34</t>
  </si>
  <si>
    <t>4.37</t>
  </si>
  <si>
    <t>4.38</t>
  </si>
  <si>
    <t>4.39</t>
  </si>
  <si>
    <t>4.40</t>
  </si>
  <si>
    <t>4.41</t>
  </si>
  <si>
    <t>4.42</t>
  </si>
  <si>
    <t>4.43</t>
  </si>
  <si>
    <t>4.44</t>
  </si>
  <si>
    <t>4.45</t>
  </si>
  <si>
    <t>5.1</t>
  </si>
  <si>
    <t>5.2</t>
  </si>
  <si>
    <t>5.3</t>
  </si>
  <si>
    <t>5.4</t>
  </si>
  <si>
    <t>5.5</t>
  </si>
  <si>
    <t>5.6</t>
  </si>
  <si>
    <t>5.7</t>
  </si>
  <si>
    <t>5.8</t>
  </si>
  <si>
    <t>5.9</t>
  </si>
  <si>
    <t>5.11</t>
  </si>
  <si>
    <t>5.12</t>
  </si>
  <si>
    <t>5.13</t>
  </si>
  <si>
    <t>5.14</t>
  </si>
  <si>
    <t>5.15</t>
  </si>
  <si>
    <t>5.16</t>
  </si>
  <si>
    <t>5.19</t>
  </si>
  <si>
    <t>6.1</t>
  </si>
  <si>
    <t>6.2</t>
  </si>
  <si>
    <t>6.3</t>
  </si>
  <si>
    <t>6.4</t>
  </si>
  <si>
    <t>6.6</t>
  </si>
  <si>
    <t>6.7</t>
  </si>
  <si>
    <t>6.8</t>
  </si>
  <si>
    <t>6.9</t>
  </si>
  <si>
    <t>6.10</t>
  </si>
  <si>
    <t>6.11</t>
  </si>
  <si>
    <t>6.12</t>
  </si>
  <si>
    <t>6.13</t>
  </si>
  <si>
    <t>6.14</t>
  </si>
  <si>
    <t>6.15</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</si>
  <si>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</si>
  <si>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</si>
  <si>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</si>
  <si>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</si>
  <si>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</si>
  <si>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</si>
  <si>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</si>
  <si>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</si>
  <si>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</si>
  <si>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</si>
  <si>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</si>
  <si>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</si>
  <si>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</si>
  <si>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</si>
  <si>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</si>
  <si>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</si>
  <si>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</si>
  <si>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</si>
  <si>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</si>
  <si>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</si>
  <si>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</si>
  <si>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</si>
  <si>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</si>
  <si>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</si>
  <si>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</si>
  <si>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</si>
  <si>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</si>
  <si>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</si>
  <si>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</si>
  <si>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</si>
  <si>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</si>
  <si>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</si>
  <si>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</si>
  <si>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</si>
  <si>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</si>
  <si>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</si>
  <si>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</si>
  <si>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</si>
  <si>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7.40</t>
  </si>
  <si>
    <t>7.39</t>
  </si>
  <si>
    <t>7.41</t>
  </si>
  <si>
    <t>7.42</t>
  </si>
  <si>
    <t>7.43</t>
  </si>
  <si>
    <t>7.44</t>
  </si>
  <si>
    <t>7.45</t>
  </si>
  <si>
    <t>7.46</t>
  </si>
  <si>
    <t>7.47</t>
  </si>
  <si>
    <t>7.48</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</si>
  <si>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</si>
  <si>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</si>
  <si>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</si>
  <si>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</si>
  <si>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</si>
  <si>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</si>
  <si>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</si>
  <si>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</si>
  <si>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</si>
  <si>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</si>
  <si>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</si>
  <si>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</si>
  <si>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</si>
  <si>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</si>
  <si>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</si>
  <si>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</si>
  <si>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</si>
  <si>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</si>
  <si>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</si>
  <si>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</si>
  <si>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</si>
  <si>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</si>
  <si>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</si>
  <si>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</si>
  <si>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</si>
  <si>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</si>
  <si>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</si>
  <si>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</si>
  <si>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</si>
  <si>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8.33</t>
  </si>
  <si>
    <t>8.30</t>
  </si>
  <si>
    <t>8.31</t>
  </si>
  <si>
    <t>8.32</t>
  </si>
  <si>
    <t>8.34</t>
  </si>
  <si>
    <t>8.35</t>
  </si>
  <si>
    <t>8.36</t>
  </si>
  <si>
    <t>8.37</t>
  </si>
  <si>
    <t>8.38</t>
  </si>
  <si>
    <t>8.39</t>
  </si>
  <si>
    <t>8.40</t>
  </si>
  <si>
    <t>8.41</t>
  </si>
  <si>
    <t>8.42</t>
  </si>
  <si>
    <t>8.43</t>
  </si>
  <si>
    <t>8.44</t>
  </si>
  <si>
    <t>8.45</t>
  </si>
  <si>
    <t>8.46</t>
  </si>
  <si>
    <t>8.47</t>
  </si>
  <si>
    <t>8.48</t>
  </si>
  <si>
    <t>9.1</t>
  </si>
  <si>
    <t>9.2</t>
  </si>
  <si>
    <t>9.3</t>
  </si>
  <si>
    <t>9.4</t>
  </si>
  <si>
    <t>9.5</t>
  </si>
  <si>
    <t>9.6</t>
  </si>
  <si>
    <t>9.7</t>
  </si>
  <si>
    <t>9.8</t>
  </si>
  <si>
    <t>9.9</t>
  </si>
  <si>
    <t>9.10</t>
  </si>
  <si>
    <t>9.11</t>
  </si>
  <si>
    <t>9.12</t>
  </si>
  <si>
    <t>9.13</t>
  </si>
  <si>
    <t>9.14</t>
  </si>
  <si>
    <t>1. Public/Government</t>
  </si>
  <si>
    <t>2. Private</t>
  </si>
  <si>
    <t>3. NGO/Faith-based/Donors</t>
  </si>
  <si>
    <t>5. Reference/referral lab within a Public Health Institute</t>
  </si>
  <si>
    <t>Standard: Acceptable ranges should be defined for all temperature dependent equipment</t>
  </si>
  <si>
    <t>Standard: Procedures should be available with instruction as to what action(s) should be taken when temperatures are out of range</t>
  </si>
  <si>
    <t>Standard: SANAS TG 28-02: 7.2.2 A reference culture is a microorganism preparation that is obtained from a culture type collection such as ATCC. A reference stock culture is a microorganism preparation derived from a reference culture. A working stock culture is growth derived from a reference stock culture. A subculture is the transfer of established microorganism growth on media to fresh media.</t>
  </si>
  <si>
    <t>Standard: CAP MIC.21300; SANAS TG 28-02: 6.1 The suitable performance of culture media, diluents, and other suspensions prepared in-house should be checked, where relevant, with regard to recovery or survival maintenance of target organisms, inhibition or suppression of non-target organisms, biochemical (differential and diagnostic) properties, physical properties (e.g. pH, volume, and sterility).</t>
  </si>
  <si>
    <t>Standard: ISO 15189: 5.2.5 &amp; 5.2.10 The laboratory space should be sufficient to ensure that the quality of work, the safety of personnel, and the ability of staff to carry out quality control procedures and documentation. The laboratory should be clean and well organized, free of clutter, well-ventilated, adequately lit, and within acceptable temperature ranges. Emergency power should be available for sensitive instruments, temperature controlled storage, and other essential equipment to prevent damage and disruption due to unexpected power fluctuations and outages. Sensitive instruments should be equipped with surge controls. Distilled and de-ionized water should be available, if required.</t>
  </si>
  <si>
    <t>FLAGS</t>
  </si>
  <si>
    <t>GENERAL EQUIPMENT AVAILABILITY</t>
  </si>
  <si>
    <t>If yes, when was the most recent certification awarded?</t>
  </si>
  <si>
    <t>AUTOCLAVE MANAGEMENT</t>
  </si>
  <si>
    <t>TEMPERATURE AND ATMOSPHERE MONITORING</t>
  </si>
  <si>
    <t>Is Gram stain QC performed using both positive and negative control organisms?</t>
  </si>
  <si>
    <t>QC OF DISC DIFFUSION AST METHODS</t>
  </si>
  <si>
    <t>QC OF GRADIENT STRIP AST METHODS</t>
  </si>
  <si>
    <t>STAPHYLOCOCCUS AUREUS, KEY ID METHODS</t>
  </si>
  <si>
    <t>SHIGELLA/SALMONELLA SEROLOGY</t>
  </si>
  <si>
    <t>1: CLSI - 2: EUCAST - 3: Other (please list in comments) - 4: None/mixed</t>
  </si>
  <si>
    <t>How is the inoculum density checked for accuracy?</t>
  </si>
  <si>
    <t>BREAKPOINTS STANDARDS</t>
  </si>
  <si>
    <t>For the next 3 questions, answer NA if the lab does not use considered disks</t>
  </si>
  <si>
    <t>INTERPRETING RESULTS</t>
  </si>
  <si>
    <t>READING AST RESULTS</t>
  </si>
  <si>
    <t>INOCULATION/INCUBATION</t>
  </si>
  <si>
    <t>INOCULUM PREPARATION</t>
  </si>
  <si>
    <t>ANTIBIOTIC DISK AND GRADIENT STRIPS MAINTENANCE</t>
  </si>
  <si>
    <t>COLISTIN TESTING</t>
  </si>
  <si>
    <t>INDUCIBLE CLINDAMYCIN RESISTANCE TESTING</t>
  </si>
  <si>
    <t>PHENOTYPIC CARBAPENEMASE TESTING</t>
  </si>
  <si>
    <t>PHENOTYPIC ESBL TESTING</t>
  </si>
  <si>
    <t>PATIENT AND SPECIMEN IDENTIFICATION</t>
  </si>
  <si>
    <t>Describe the laboratory’s system for reporting AST results to the physician/client</t>
  </si>
  <si>
    <t>CUMULATIVE ANTIBIOGRAMS</t>
  </si>
  <si>
    <t>Designated specifically for storage of media/reagents?</t>
  </si>
  <si>
    <t>MEDIA PREPARATION EQUIPMENT AVAILABILITY</t>
  </si>
  <si>
    <t>THERMOMETERS</t>
  </si>
  <si>
    <t>AUTOMATED EQUIPMENT AVAILABILITY AND MAINTENANCE</t>
  </si>
  <si>
    <t>If No, answer NA until next section</t>
  </si>
  <si>
    <t>EQUIPMENT CALIBRATION  RECORDS</t>
  </si>
  <si>
    <t xml:space="preserve">Is work area (bench and hood) disinfection documented daily? </t>
  </si>
  <si>
    <t>Temperature</t>
  </si>
  <si>
    <t>Pressure</t>
  </si>
  <si>
    <t>Cycle Time</t>
  </si>
  <si>
    <t>Do records demonstrate that the following mechanical indicators are recorded each time the autoclave is run? (Review logs to confirm)</t>
  </si>
  <si>
    <t>Is a user manual present?</t>
  </si>
  <si>
    <t>Are routine (user) maintenance records present?</t>
  </si>
  <si>
    <t>Are preventive (vendor) maintenance records present?</t>
  </si>
  <si>
    <t>Is a service contract in place?</t>
  </si>
  <si>
    <t>Does the lab have an automated instrument for bacterial ID and AST? (e.g., Vitek, Microscan, Phoenix)</t>
  </si>
  <si>
    <t>Is the software up to date?</t>
  </si>
  <si>
    <t>Is the instrument functional today?</t>
  </si>
  <si>
    <t>In the event of prolonged instrument failure, is a contingency plan in place to provide uninterrupted bacteriology services?</t>
  </si>
  <si>
    <t>Are inpatients assigned a unique patient ID number upon admission to the hospital?</t>
  </si>
  <si>
    <t>Are outpatients assigned a unique patient ID number upon registration at the clinic?</t>
  </si>
  <si>
    <t>Does the laboratory assign a unique specimen ID number to each specimen received in the lab?</t>
  </si>
  <si>
    <t>Patient Name</t>
  </si>
  <si>
    <t>2: Fully electronic, but non-LIS (e.g., Word, Excel)</t>
  </si>
  <si>
    <t>ORDER ENTRY</t>
  </si>
  <si>
    <t>CULTURE OBSERVATIONS</t>
  </si>
  <si>
    <t>Disk diffusion zone sizes</t>
  </si>
  <si>
    <t>Disk diffusion interpretation (S/I/R)</t>
  </si>
  <si>
    <t>MIC values</t>
  </si>
  <si>
    <t>MIC interpretation (S/I/R)</t>
  </si>
  <si>
    <t>Describe the laboratory’s system for recording culture observations</t>
  </si>
  <si>
    <t>Biochemical test results (e.g., "catalase positive") for conventional test methods</t>
  </si>
  <si>
    <t>The work card is where culture observations and biochemical test results are recorded. Work cards may be paper or electronic.</t>
  </si>
  <si>
    <t>Are AST reports retained for a defined time period (at least one year)?</t>
  </si>
  <si>
    <t>DATA BACKUP &amp; SECURITY</t>
  </si>
  <si>
    <t>Observe data entry into the LIS. Are individual data fields present for each of the following?</t>
  </si>
  <si>
    <t>Specimen identification number</t>
  </si>
  <si>
    <t>Can the LIS record MIC values to three decimal places (e.g. 0.016)?</t>
  </si>
  <si>
    <t xml:space="preserve">Can the LIS suppress (hide) an individual antibiotic result from the patient report without deleting it from the database (for cascade reporting)? </t>
  </si>
  <si>
    <t>AST DATA FIELDS</t>
  </si>
  <si>
    <t>Can the LIS de-duplicate data based on select criteria (e.g., patient ID, organism, specimen date)?</t>
  </si>
  <si>
    <t>Can the LIS produce a cumulative antibiogram report?</t>
  </si>
  <si>
    <t>Can the LIS interface with the Hospital Information System (HIS)?</t>
  </si>
  <si>
    <t>Can the LIS interface with automated AST instruments (e.g., Vitek, Phoenix, SIRScan, BIOMIC)?</t>
  </si>
  <si>
    <t>Has the laboratory ever been enrolled in the SLIPTA program?</t>
  </si>
  <si>
    <t>QMS MENTORING PROGRAMS</t>
  </si>
  <si>
    <t>Are temperatures recorded each day of use?</t>
  </si>
  <si>
    <t>Is there documentation of corrective action taken in response to out of range temperatures?</t>
  </si>
  <si>
    <t>QC is performed on each new batch/lot number</t>
  </si>
  <si>
    <t xml:space="preserve">GENERAL MEDIA PREPARATION </t>
  </si>
  <si>
    <t xml:space="preserve">Have all biosafety cabinets been recertified within a year of today’s date? </t>
  </si>
  <si>
    <t>Does the lab add calcium or magnesium cations to dMHA?</t>
  </si>
  <si>
    <t>Does the dehydrated Mueller Hinton Agar (dHMA) meet ISO 16782 (CLSI M6) standards? (Low thymine/thymidine content, not supplemented with Mg++ or Ca++ cations)</t>
  </si>
  <si>
    <t>Immediately after autoclaving, is agar allowed to cool in a 45° - 50°C water bath?</t>
  </si>
  <si>
    <t>Are plates poured on a level surface?</t>
  </si>
  <si>
    <t>Do records demonstrate that pH is 7.2 – 7.4 for each batch?</t>
  </si>
  <si>
    <t>Do QC records indicate that each batch of Mueller Hinton agar is checked for its ability to produce expected zone sizes using the following ATCC reference strains and antibiotics?</t>
  </si>
  <si>
    <t>ROUTINE MEDIA QC</t>
  </si>
  <si>
    <t>Observe the media reconstituted in house, is each batch clearly labeled with the following?</t>
  </si>
  <si>
    <t>QC is performed using ATCC or ATCC-derivative strains</t>
  </si>
  <si>
    <t>QC OF INDIVIDUAL BIOCHEMICAL METHODS</t>
  </si>
  <si>
    <t>QC OF ENTERIC SEROLOGY</t>
  </si>
  <si>
    <t>QC OF COMMERCIAL ID KITS and AUTOMATED ID SYSTEMS</t>
  </si>
  <si>
    <t>QC OF AUTOMATED AST SYSTEMS</t>
  </si>
  <si>
    <t xml:space="preserve">Does the hospital use a Hospital Information System (HIS) or Electronic Medical Record (EMR)? </t>
  </si>
  <si>
    <t>Lab types data into an online database</t>
  </si>
  <si>
    <t>Other, please describe in comments</t>
  </si>
  <si>
    <t>Lab sends paper forms to an AMR coordinator</t>
  </si>
  <si>
    <t>Lab types data into an Excel spreadsheet</t>
  </si>
  <si>
    <t>Lab types data into WHONET</t>
  </si>
  <si>
    <t>Lab exports a file from the automated AST instrument</t>
  </si>
  <si>
    <t>Lab exports a file from the LIS</t>
  </si>
  <si>
    <t>REPORTS AND DATA TRANSFER CAPABILITIES</t>
  </si>
  <si>
    <t>On each day of incubation, visually examine all bottles for signs of positivity (turbidity, hemolysis, gas production)</t>
  </si>
  <si>
    <t>Standard: CAP MIC.22210; SANAS TR 34-04:3.2.1.2 Media and procedures must be used to ensure isolation and identification of common uropathogens such as Enterobacteriaceae, Enterococcus sp., and Staphylococcus sp.</t>
  </si>
  <si>
    <t xml:space="preserve">Does the urine culture SOP provide guidance to the technologist in determining which organisms to “work up” (ID and AST) based on relative quantities, pathogenicity, and method of specimen collection? </t>
  </si>
  <si>
    <t>Selective enrichment broth (e.g., Selenite, GN, etc.)</t>
  </si>
  <si>
    <t>Other (describe in comments, not scored)</t>
  </si>
  <si>
    <t>AST PANELS</t>
  </si>
  <si>
    <t>Review the most recent cumulative antibiogram. Does it adhere to the following CLSI M39 recommendations?</t>
  </si>
  <si>
    <t>Data is presented as %S (not %R)</t>
  </si>
  <si>
    <t>If No, answer the following questions "NA"</t>
  </si>
  <si>
    <t>Are isolates from environmental cultures and screening cultures (e.g., MRSA screen, VRE screen) excluded from the analysis?</t>
  </si>
  <si>
    <t>GRAM NEGATIVES &amp; BETA-LACTAM BREAKPOINTS</t>
  </si>
  <si>
    <t>Which blood culture incubation systems does the lab use?</t>
  </si>
  <si>
    <t>1: Automated only; 2: Manual System only; 3: Both automated and manual systems</t>
  </si>
  <si>
    <t>Subculture bottles that appear negative to a chocolate agar plate (incubated in 5% CO2) to ensure recovery of fastidious organisms</t>
  </si>
  <si>
    <t>Incubate all bottles between 5 and 7 days before issuing a final negative report</t>
  </si>
  <si>
    <t>MANUAL BLOOD CULTURE SYSTEMS</t>
  </si>
  <si>
    <t>BLOOD CULTURE PROCESSING</t>
  </si>
  <si>
    <t>Other (specify in comments)</t>
  </si>
  <si>
    <t>Postgraduate Master's degree in Microbiology or Medical Laboratory Sciences</t>
  </si>
  <si>
    <t>Advanced degree, other concentration (PhD, MD)</t>
  </si>
  <si>
    <t>Postgraduate Master's degree, other concentration</t>
  </si>
  <si>
    <t>Graduate Bachelor's degree in Microbiology or Medical Laboratory Sciences</t>
  </si>
  <si>
    <t>Graduate Bachelor's degree, other concentration</t>
  </si>
  <si>
    <t>Undergraduate Certificate or Diploma in Microbiology or Medical Laboratory Sciences</t>
  </si>
  <si>
    <t>Undergraduate Certificate or Diploma, other concentration</t>
  </si>
  <si>
    <t>LABORATORY STAFF EDUCATION/TRAINING</t>
  </si>
  <si>
    <t>QUALITY STRUCTURE/BASICS</t>
  </si>
  <si>
    <t>Is there documentation showing that the Quality Officers and Focal Points have received appropriate training in Quality Management Systems (QMS)?</t>
  </si>
  <si>
    <t>Is there a Quality Manual in place that conforms to ISO standards? (15189, 17025 or 9001)?</t>
  </si>
  <si>
    <t>Does the lab have up-to-date documentation showing which benches &amp; tests each staff member has been trained on and approved to work independently? (Review such records)</t>
  </si>
  <si>
    <t>Is the EQA/PT provider ISO-17043 accredited?</t>
  </si>
  <si>
    <t>1: Less than 2 months; 2: 2 – 6 months; 3: More than 6 months; NA: no EQA</t>
  </si>
  <si>
    <t>Does the lab produce a cumulative antibiogram at least annually?</t>
  </si>
  <si>
    <t>Is the cumulative antibiogram distributed to all physicians?</t>
  </si>
  <si>
    <t xml:space="preserve">Clearly displays the name of the hospital/facility </t>
  </si>
  <si>
    <t>Only presents data for organisms/antibiotics where the total N = 30 or more isolates</t>
  </si>
  <si>
    <t>INTERFACE CONNECTIVITY</t>
  </si>
  <si>
    <t>DEMOGRAPHIC DATA FIELDS</t>
  </si>
  <si>
    <t>WORK CARD DATA FIELDS</t>
  </si>
  <si>
    <t>2.21</t>
  </si>
  <si>
    <t>Patient Date of Birth</t>
  </si>
  <si>
    <t>Patient Age</t>
  </si>
  <si>
    <t>SPECIMEN DATA FIELDS</t>
  </si>
  <si>
    <t>Patient Gender</t>
  </si>
  <si>
    <t>Patient Date of Admission</t>
  </si>
  <si>
    <t>Patient Last Name/Surname</t>
  </si>
  <si>
    <t>Patient First Name</t>
  </si>
  <si>
    <t>Patient Identification Number</t>
  </si>
  <si>
    <t>Patient Location (Ward or unit at time of specimen collection, e.g., "ICU")</t>
  </si>
  <si>
    <t>Specimen Source/Body Site (e.g. Arm)</t>
  </si>
  <si>
    <t>Additional descriptors (e.g., Left, Right)</t>
  </si>
  <si>
    <t>Specimen Type (e.g. Wound)</t>
  </si>
  <si>
    <t>5.10</t>
  </si>
  <si>
    <t>Name of physician ordering the test</t>
  </si>
  <si>
    <t>Can the LIS export line lists of data to .txt or .csv files?</t>
  </si>
  <si>
    <t>Review the specimen requisition form. Does it contain each of the following data fields?</t>
  </si>
  <si>
    <t>SPECIMEN REQUISITION FORM</t>
  </si>
  <si>
    <t>Review the process of specimen receiving/order entry. Are each of the following variables captured in the logbook or computer system?</t>
  </si>
  <si>
    <t>5.20</t>
  </si>
  <si>
    <t>5.22</t>
  </si>
  <si>
    <t>5.23</t>
  </si>
  <si>
    <t>Review the workcard of a recently completed culture. Are the following elements recorded?</t>
  </si>
  <si>
    <t>AST RESULTS REPORTING</t>
  </si>
  <si>
    <t>Is there evidence that QC review is performed at the stated frequency?</t>
  </si>
  <si>
    <t>Does a Supervisor or qualified designee review positive culture results every day?</t>
  </si>
  <si>
    <t xml:space="preserve">Is there documentation showing that the the Supervisor/Quality Officer received training on how to effectively troubleshoot QC failures? </t>
  </si>
  <si>
    <t xml:space="preserve">Among laboratory leadership and the technical staff in bacteriology, indicate the number that fall into each training level category. </t>
  </si>
  <si>
    <t>On-the-job training only</t>
  </si>
  <si>
    <t>High school/Secondary school diploma</t>
  </si>
  <si>
    <t>Is the lab sufficiently staffed to provide high quality services? (Including support staff.)</t>
  </si>
  <si>
    <t>STAPHYLOCOCCUS AUREUS, OTHER ID METHODS</t>
  </si>
  <si>
    <t>LABORATORY DEMOGRAPHICS</t>
  </si>
  <si>
    <t>1.54</t>
  </si>
  <si>
    <t>1.55</t>
  </si>
  <si>
    <t>1.56</t>
  </si>
  <si>
    <t>1.57</t>
  </si>
  <si>
    <t>1.58</t>
  </si>
  <si>
    <t>1.59</t>
  </si>
  <si>
    <t>1.60</t>
  </si>
  <si>
    <t>1.61</t>
  </si>
  <si>
    <t>Y/N</t>
  </si>
  <si>
    <t>TEST MENU and WORKLOAD</t>
  </si>
  <si>
    <t>Blood Cultures</t>
  </si>
  <si>
    <t>Urine Cultures</t>
  </si>
  <si>
    <t>Stool Cultures</t>
  </si>
  <si>
    <t>Respiratory Cultures (not TB)</t>
  </si>
  <si>
    <t>Wound Cultures</t>
  </si>
  <si>
    <t>Sterile Body Fluid Cultures</t>
  </si>
  <si>
    <t>Anaerobic Cultures</t>
  </si>
  <si>
    <t>Fungal Cultures (Mold)</t>
  </si>
  <si>
    <t>Fungal Cultures (Yeast)</t>
  </si>
  <si>
    <t>MRSA screen (nares, axilla, groin)</t>
  </si>
  <si>
    <t>VRE screen (rectal swab)</t>
  </si>
  <si>
    <t>CRE screen (rectal swab)</t>
  </si>
  <si>
    <t>Cerebrospinal Fluid Cultures</t>
  </si>
  <si>
    <t xml:space="preserve">AST/AMR METHODS AND WORKLOAD </t>
  </si>
  <si>
    <t xml:space="preserve">Which manual AST methods are in use? </t>
  </si>
  <si>
    <t xml:space="preserve">Which automated AST methods are in use? </t>
  </si>
  <si>
    <t>Colistin resistance</t>
  </si>
  <si>
    <t>ESBL producers</t>
  </si>
  <si>
    <t>LABORATORY STAFF EDUCATION/TRAINING/COMPETENCY</t>
  </si>
  <si>
    <t># staff</t>
  </si>
  <si>
    <t>Blood culture</t>
  </si>
  <si>
    <t>Urine culture</t>
  </si>
  <si>
    <t>Stool culture</t>
  </si>
  <si>
    <t>Respiratory culture (non-TB)</t>
  </si>
  <si>
    <t>Wound culture</t>
  </si>
  <si>
    <t>Is deionized water (DI) or distilled water used to prepare all media?</t>
  </si>
  <si>
    <t>MEDIA PREPARATION SOPs</t>
  </si>
  <si>
    <t>Do all media preparation records including the following?</t>
  </si>
  <si>
    <t>MULLER HINTON MEDIA PREPARATION AND QC</t>
  </si>
  <si>
    <t>What is the source of the blood used to make the blood agar, chocolate, and/or MHB plates?</t>
  </si>
  <si>
    <t>GRAM STAIN QC and REAGENT LABELING AND STORAGE</t>
  </si>
  <si>
    <t>TOUBLESHOOTING, PROBLEM SOLVING, AND ROOT CAUSE ANALYSES</t>
  </si>
  <si>
    <t>Is a root cause analysis performed when unacceptable QC results are obtained? (Request to see a recent example)</t>
  </si>
  <si>
    <t>Are patient results reported if QC of media, ID method, or AST method was not performed?</t>
  </si>
  <si>
    <t>Are patient results reported if QC of media, ID method, or AST method failed to produce acceptable results?</t>
  </si>
  <si>
    <t>Is there evidence that the lab troubleshoots unacceptable QC results for media, reagents, ID systems and AST methods?</t>
  </si>
  <si>
    <t>Is QC performed using ATCC or ATCC-derivative strains?</t>
  </si>
  <si>
    <t>Is QC performed on every new lot number/shipment of ID cards/trays before they are placed into use?</t>
  </si>
  <si>
    <t>ROUTINE AST REFERENCE STRAINS</t>
  </si>
  <si>
    <t>SPECIAL AST REFERENCE STRAINS</t>
  </si>
  <si>
    <t>E.coli ATCC 35218 (TEM-1 positive)</t>
  </si>
  <si>
    <t>4.17</t>
  </si>
  <si>
    <t>4.24</t>
  </si>
  <si>
    <t>Is antibiotic disk QC performed using the recommended ATCC reference strains below? (Review QC records to confirm)</t>
  </si>
  <si>
    <t>Is antibiotic disk QC performed before placing newly received lot numbers/shipments into use? (Review QC records to confirm)</t>
  </si>
  <si>
    <t>1: Each day that disk AST is performed on patients – 2: Weekly – 3: Every other week – 4: Monthly - 5: Other (describe in comments) – NA: disk method not used</t>
  </si>
  <si>
    <t>1: Each day that strip AST is performed on patients – 2: Weekly – 3: Every other week – 4: Monthly - 5: Other (describe in comments) – NA: strip method not used</t>
  </si>
  <si>
    <t>Are the antibiotic cards/trays stored at the manufacturer-recommended temperatures?</t>
  </si>
  <si>
    <t>Is QC of the antibiotic cards/trays performed before placing new lot numbers/shipments into use? (Review QC records to confirm)</t>
  </si>
  <si>
    <t>1: Each day that automated AST is performed on patients – 2: Weekly – 3: Every other week – 4: Monthly - 5: Other (describe in comments) – NA: automated method not used</t>
  </si>
  <si>
    <t>Does the lab provide blood culture specimen collection instructions/SOPs to patient sample collection areas?</t>
  </si>
  <si>
    <t>Antiseptic skin preparation and aseptic collection technique</t>
  </si>
  <si>
    <t>Antiseptic stopper preparation and aseptic inoculation of bottles</t>
  </si>
  <si>
    <t>Transport bottles to the lab within 1 hour of collection</t>
  </si>
  <si>
    <t>Does the lab provide urine culture specimen collection instructions/SOPs to patient sample collection areas?</t>
  </si>
  <si>
    <t>Review the urine culture specimen collection instructions. Does it address the following items?</t>
  </si>
  <si>
    <t>Sterile containers only</t>
  </si>
  <si>
    <t>Does the lab (or other department) provide annual refresher training to clinical staff on urine culture specimen collection?</t>
  </si>
  <si>
    <t>Antiseptic cleaning instructions for women, men and infants</t>
  </si>
  <si>
    <t>Minimum volume (typically 3mL)</t>
  </si>
  <si>
    <t>Proper labeling instructions</t>
  </si>
  <si>
    <t>Does the lab provide stool culture specimen collection instructions/SOPs to patient sample collection areas?</t>
  </si>
  <si>
    <t>Does the lab (or other department) provide annual refresher training to clinical staff on stool culture specimen collection?</t>
  </si>
  <si>
    <t>Review the stool culture specimen collection instructions. Does it address the following items?</t>
  </si>
  <si>
    <t>Transport to the lab at room temperature within 2 hours</t>
  </si>
  <si>
    <t>If transport will be delayed, place specimen in an approved transport medium (such as Cary-Blair) for up to 24 hours</t>
  </si>
  <si>
    <t>Does the lab store specimens properly prior to and following testing?</t>
  </si>
  <si>
    <t>SPECIMEN MANAGEMENT</t>
  </si>
  <si>
    <t>SPECIMEN REJECTION</t>
  </si>
  <si>
    <t>Does the lab maintain quality indicators regarding the number of specimens rejected?</t>
  </si>
  <si>
    <t>BLOOD SPECIMEN COLLECTION and TRANSPORT</t>
  </si>
  <si>
    <t>URINE SPECIMEN COLLECTION and TRANSPORT</t>
  </si>
  <si>
    <t>STOOL SPECIMEN COLLECTION and TRANSPORT</t>
  </si>
  <si>
    <t>Does the lab possess a guidance document with photos describing how to measure zone sizes, such as the CLSI M02 or the EUCAST disk diffusion reading guides?</t>
  </si>
  <si>
    <t xml:space="preserve">http://www.eucast.org/ast_of_bacteria/guidance_documents/  </t>
  </si>
  <si>
    <t>http://clsi-m100.com/</t>
  </si>
  <si>
    <t xml:space="preserve">Is there internet in the lab to access free EUCAST PDFs or CLSI M100 online version? </t>
  </si>
  <si>
    <t>Ask to see the lab’s most current hard copy of the standard. Is it less than 3 years old?</t>
  </si>
  <si>
    <t>Does the lab obtain updates of the standard in use at least every 3 years?</t>
  </si>
  <si>
    <t>Does the lab have a software program to produce the antibiogram?</t>
  </si>
  <si>
    <t xml:space="preserve"># cultures last year </t>
  </si>
  <si>
    <t xml:space="preserve"># organisms last year </t>
  </si>
  <si>
    <t>Does the lab have a formally designated Quality Officer or Manager?</t>
  </si>
  <si>
    <t>Is there a Quality Focal Point in bacteriology, in charge of collaboration with quality manager?</t>
  </si>
  <si>
    <t>Any other microbiology applied technique such as Gram staining?</t>
  </si>
  <si>
    <t xml:space="preserve">Is QC performed on every new lot number/shipment before kits are placed into use, according to manufacturer recommendations? </t>
  </si>
  <si>
    <t>Ranges defined</t>
  </si>
  <si>
    <t>Temperature recorded</t>
  </si>
  <si>
    <t>BLOOD CULTURE BOTTLES PREPARATION AND QC</t>
  </si>
  <si>
    <t>11- ANTIMICROBIAL SUSCEPTIBILITY TESTING (AST) BASICS</t>
  </si>
  <si>
    <t>Conductimetry</t>
  </si>
  <si>
    <t>pH</t>
  </si>
  <si>
    <t>Sterility</t>
  </si>
  <si>
    <t>4- QUALITY ASSURANCE</t>
  </si>
  <si>
    <t>3- DATA MANAGEMENT</t>
  </si>
  <si>
    <t>6- QUALITY CONTROL - ID METHODS</t>
  </si>
  <si>
    <t>7- QUALITY CONTROL - AST METHODS</t>
  </si>
  <si>
    <t>9- PROCESSING</t>
  </si>
  <si>
    <t>12- AST EXPERT RULES</t>
  </si>
  <si>
    <t xml:space="preserve">5- QUALITY CONTROL - MEDIA </t>
  </si>
  <si>
    <t>6- QUALITY CONTROL - IDENTIFICATION</t>
  </si>
  <si>
    <t>7- QUALITY CONTROL - AST</t>
  </si>
  <si>
    <t>11- BASIC AST</t>
  </si>
  <si>
    <t>EXPERT RULES FOR SALMONELLA</t>
  </si>
  <si>
    <t>EXPERT RULES FOR STAPH AUREUS</t>
  </si>
  <si>
    <t>GENERAL CONSIDERATIONS FOR STREP PNEUMONIAE</t>
  </si>
  <si>
    <t>EXPERT RULES FOR STREP PNEUMONIAE</t>
  </si>
  <si>
    <t>Advanced degree in Med. Microbiology/Med. Lab. (PhD, MD)</t>
  </si>
  <si>
    <t>PG Master's degree in Microbiology or Med. Lab. Sciences</t>
  </si>
  <si>
    <t>Grad. Bachelor's degree in Microbiology or Med. Lab. Sciences</t>
  </si>
  <si>
    <t>UG Certificate/Diploma in Microbiology or Med. Lab. Sciences</t>
  </si>
  <si>
    <t>STAFFING</t>
  </si>
  <si>
    <t>1-English</t>
  </si>
  <si>
    <t>BIOSAFETY EQUIPMENT</t>
  </si>
  <si>
    <t>PERSONAL PROTECTIVE EQUIPMENT</t>
  </si>
  <si>
    <t>BIOSAFETY BEHAVIORS</t>
  </si>
  <si>
    <t>BIOSAFETY DOCUMENTATION AND TRAINING</t>
  </si>
  <si>
    <t>SA1</t>
  </si>
  <si>
    <t>SA2</t>
  </si>
  <si>
    <t>SA3</t>
  </si>
  <si>
    <t>SA4</t>
  </si>
  <si>
    <t>SA5</t>
  </si>
  <si>
    <t>SA6</t>
  </si>
  <si>
    <t>SA7</t>
  </si>
  <si>
    <t>SA8</t>
  </si>
  <si>
    <t>SA9</t>
  </si>
  <si>
    <t>SA11</t>
  </si>
  <si>
    <t>SA10</t>
  </si>
  <si>
    <t>SA12</t>
  </si>
  <si>
    <t>SA13</t>
  </si>
  <si>
    <t>SA14</t>
  </si>
  <si>
    <t>SA15</t>
  </si>
  <si>
    <t>SA16</t>
  </si>
  <si>
    <t>SA17</t>
  </si>
  <si>
    <t>SA18</t>
  </si>
  <si>
    <t>SA19</t>
  </si>
  <si>
    <t>SA20</t>
  </si>
  <si>
    <t>SA21</t>
  </si>
  <si>
    <t>SA22</t>
  </si>
  <si>
    <t>SA23</t>
  </si>
  <si>
    <t>SA24</t>
  </si>
  <si>
    <t>0.13</t>
  </si>
  <si>
    <t>0.14</t>
  </si>
  <si>
    <t>0.15</t>
  </si>
  <si>
    <t>0.16</t>
  </si>
  <si>
    <t>0.17</t>
  </si>
  <si>
    <t>0.18</t>
  </si>
  <si>
    <t>0.20</t>
  </si>
  <si>
    <t>0.21</t>
  </si>
  <si>
    <t>0.22</t>
  </si>
  <si>
    <t>0.23</t>
  </si>
  <si>
    <t>0.24</t>
  </si>
  <si>
    <t>0.25</t>
  </si>
  <si>
    <t>0.26</t>
  </si>
  <si>
    <t>0.27</t>
  </si>
  <si>
    <t>0.28</t>
  </si>
  <si>
    <t>0.29</t>
  </si>
  <si>
    <t>0.30</t>
  </si>
  <si>
    <t>0.31</t>
  </si>
  <si>
    <t>0.32</t>
  </si>
  <si>
    <t>0.33</t>
  </si>
  <si>
    <t>0.34</t>
  </si>
  <si>
    <t>0.35</t>
  </si>
  <si>
    <t>0.36</t>
  </si>
  <si>
    <t>0.38</t>
  </si>
  <si>
    <t>0.39</t>
  </si>
  <si>
    <t>0.40</t>
  </si>
  <si>
    <t>0.41</t>
  </si>
  <si>
    <t>0.42</t>
  </si>
  <si>
    <t>0.43</t>
  </si>
  <si>
    <t>0.44</t>
  </si>
  <si>
    <t>0.45</t>
  </si>
  <si>
    <t>0.46</t>
  </si>
  <si>
    <t>0.47</t>
  </si>
  <si>
    <t>0.48</t>
  </si>
  <si>
    <t>0.49</t>
  </si>
  <si>
    <t>0.50</t>
  </si>
  <si>
    <t>0.51</t>
  </si>
  <si>
    <t>0.52</t>
  </si>
  <si>
    <t>0.53</t>
  </si>
  <si>
    <t>0.54</t>
  </si>
  <si>
    <t>0.55</t>
  </si>
  <si>
    <t>0.56</t>
  </si>
  <si>
    <t>0.57</t>
  </si>
  <si>
    <t>0.58</t>
  </si>
  <si>
    <t>1.9</t>
  </si>
  <si>
    <t>1.16</t>
  </si>
  <si>
    <t>1.17</t>
  </si>
  <si>
    <t>1.18</t>
  </si>
  <si>
    <t>1.19</t>
  </si>
  <si>
    <t>1.20</t>
  </si>
  <si>
    <t>1.21</t>
  </si>
  <si>
    <t>1.22</t>
  </si>
  <si>
    <t>1.23</t>
  </si>
  <si>
    <t>1.27</t>
  </si>
  <si>
    <t>1.41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</si>
  <si>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</si>
  <si>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</si>
  <si>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</si>
  <si>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</si>
  <si>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</si>
  <si>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</si>
  <si>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</si>
  <si>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</si>
  <si>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</si>
  <si>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</si>
  <si>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</si>
  <si>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</si>
  <si>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</si>
  <si>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</si>
  <si>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</si>
  <si>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</si>
  <si>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</si>
  <si>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</si>
  <si>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</si>
  <si>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</si>
  <si>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</si>
  <si>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</si>
  <si>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</si>
  <si>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</si>
  <si>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1.87</t>
  </si>
  <si>
    <t>1.88</t>
  </si>
  <si>
    <t>1.89</t>
  </si>
  <si>
    <t>1.90</t>
  </si>
  <si>
    <t>1.91</t>
  </si>
  <si>
    <t>1.92</t>
  </si>
  <si>
    <t>1.93</t>
  </si>
  <si>
    <t>1.94</t>
  </si>
  <si>
    <t>1.95</t>
  </si>
  <si>
    <t>1.96</t>
  </si>
  <si>
    <t>1.97</t>
  </si>
  <si>
    <t>1.98</t>
  </si>
  <si>
    <t>1.99</t>
  </si>
  <si>
    <t>1.100</t>
  </si>
  <si>
    <t>1.101</t>
  </si>
  <si>
    <t>1.102</t>
  </si>
  <si>
    <t>1.103</t>
  </si>
  <si>
    <t>1.104</t>
  </si>
  <si>
    <t>1.105</t>
  </si>
  <si>
    <t>1.106</t>
  </si>
  <si>
    <t>1.107</t>
  </si>
  <si>
    <t>2.7</t>
  </si>
  <si>
    <t>2.8</t>
  </si>
  <si>
    <t>2.39</t>
  </si>
  <si>
    <t>3.24</t>
  </si>
  <si>
    <t>3.25</t>
  </si>
  <si>
    <t>3.43</t>
  </si>
  <si>
    <t>3.44</t>
  </si>
  <si>
    <t>3.45</t>
  </si>
  <si>
    <t>4.7</t>
  </si>
  <si>
    <t>4.8</t>
  </si>
  <si>
    <t>4.21</t>
  </si>
  <si>
    <t>4.25</t>
  </si>
  <si>
    <t>4.27</t>
  </si>
  <si>
    <t>4.28</t>
  </si>
  <si>
    <t>4.36</t>
  </si>
  <si>
    <t>5.24</t>
  </si>
  <si>
    <t>5.25</t>
  </si>
  <si>
    <t>5.29</t>
  </si>
  <si>
    <t>5.30</t>
  </si>
  <si>
    <t>5.31</t>
  </si>
  <si>
    <t>5.32</t>
  </si>
  <si>
    <t>5.33</t>
  </si>
  <si>
    <t>5.34</t>
  </si>
  <si>
    <t>5.35</t>
  </si>
  <si>
    <t>5.36</t>
  </si>
  <si>
    <t>5.37</t>
  </si>
  <si>
    <t>5.38</t>
  </si>
  <si>
    <t>5.39</t>
  </si>
  <si>
    <t>5.40</t>
  </si>
  <si>
    <t>5.41</t>
  </si>
  <si>
    <t>5.42</t>
  </si>
  <si>
    <t>5.43</t>
  </si>
  <si>
    <t>5.44</t>
  </si>
  <si>
    <t>5.45</t>
  </si>
  <si>
    <t>5.46</t>
  </si>
  <si>
    <t>5.47</t>
  </si>
  <si>
    <t>5.48</t>
  </si>
  <si>
    <t>5.49</t>
  </si>
  <si>
    <t>5.50</t>
  </si>
  <si>
    <t>5.53</t>
  </si>
  <si>
    <t>5.54</t>
  </si>
  <si>
    <t>5.55</t>
  </si>
  <si>
    <t>5.56</t>
  </si>
  <si>
    <t>5.57</t>
  </si>
  <si>
    <t>5.58</t>
  </si>
  <si>
    <t>6.5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</si>
  <si>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</si>
  <si>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</si>
  <si>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</si>
  <si>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</si>
  <si>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</si>
  <si>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</si>
  <si>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</si>
  <si>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</si>
  <si>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</si>
  <si>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</si>
  <si>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</si>
  <si>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</si>
  <si>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</si>
  <si>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</si>
  <si>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</si>
  <si>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</si>
  <si>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</si>
  <si>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</si>
  <si>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</si>
  <si>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</si>
  <si>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</si>
  <si>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</si>
  <si>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</si>
  <si>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</si>
  <si>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</si>
  <si>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</si>
  <si>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</si>
  <si>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</si>
  <si>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</si>
  <si>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</si>
  <si>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</si>
  <si>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</si>
  <si>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</si>
  <si>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</si>
  <si>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</si>
  <si>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</si>
  <si>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</si>
  <si>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</si>
  <si>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</si>
  <si>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</si>
  <si>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</si>
  <si>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</si>
  <si>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</si>
  <si>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</si>
  <si>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</si>
  <si>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</si>
  <si>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</si>
  <si>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</si>
  <si>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</si>
  <si>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</si>
  <si>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</si>
  <si>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</si>
  <si>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</si>
  <si>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</si>
  <si>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</si>
  <si>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</si>
  <si>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</si>
  <si>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</si>
  <si>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</si>
  <si>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</si>
  <si>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</si>
  <si>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</si>
  <si>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</si>
  <si>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</si>
  <si>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</si>
  <si>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</si>
  <si>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</si>
  <si>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</si>
  <si>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</si>
  <si>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</si>
  <si>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</si>
  <si>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</si>
  <si>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</si>
  <si>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</si>
  <si>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7.49</t>
  </si>
  <si>
    <t>9.19</t>
  </si>
  <si>
    <t>9.20</t>
  </si>
  <si>
    <t>9.21</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</si>
  <si>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</si>
  <si>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</si>
  <si>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</si>
  <si>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</si>
  <si>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</si>
  <si>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</si>
  <si>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</si>
  <si>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</si>
  <si>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</si>
  <si>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</si>
  <si>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</si>
  <si>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</si>
  <si>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</si>
  <si>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</si>
  <si>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</si>
  <si>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</si>
  <si>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</si>
  <si>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</si>
  <si>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</si>
  <si>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</si>
  <si>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</si>
  <si>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</si>
  <si>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</si>
  <si>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</si>
  <si>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</si>
  <si>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</si>
  <si>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</si>
  <si>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</si>
  <si>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</si>
  <si>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</si>
  <si>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</si>
  <si>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</si>
  <si>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</si>
  <si>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</si>
  <si>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</si>
  <si>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</si>
  <si>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</si>
  <si>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</si>
  <si>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</si>
  <si>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</si>
  <si>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</si>
  <si>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</si>
  <si>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</si>
  <si>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</si>
  <si>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</si>
  <si>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</si>
  <si>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</si>
  <si>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</si>
  <si>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</si>
  <si>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</si>
  <si>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</si>
  <si>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</si>
  <si>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</si>
  <si>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</si>
  <si>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</si>
  <si>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</si>
  <si>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</si>
  <si>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</si>
  <si>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</si>
  <si>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</si>
  <si>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</si>
  <si>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</si>
  <si>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</si>
  <si>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</si>
  <si>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</si>
  <si>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</si>
  <si>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</si>
  <si>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</si>
  <si>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</si>
  <si>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</si>
  <si>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</si>
  <si>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</si>
  <si>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</si>
  <si>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</si>
  <si>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</si>
  <si>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</si>
  <si>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</si>
  <si>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</si>
  <si>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</si>
  <si>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</si>
  <si>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</si>
  <si>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</si>
  <si>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</si>
  <si>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</si>
  <si>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</si>
  <si>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</si>
  <si>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</si>
  <si>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</si>
  <si>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</si>
  <si>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</si>
  <si>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</si>
  <si>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</si>
  <si>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</si>
  <si>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</si>
  <si>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</si>
  <si>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</si>
  <si>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</si>
  <si>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</si>
  <si>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</si>
  <si>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</si>
  <si>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</si>
  <si>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</si>
  <si>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</si>
  <si>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</si>
  <si>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</si>
  <si>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</si>
  <si>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</si>
  <si>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</si>
  <si>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</si>
  <si>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</si>
  <si>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</si>
  <si>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</si>
  <si>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</si>
  <si>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</si>
  <si>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</si>
  <si>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</si>
  <si>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</si>
  <si>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</si>
  <si>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</si>
  <si>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</si>
  <si>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</si>
  <si>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</si>
  <si>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</si>
  <si>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</si>
  <si>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</si>
  <si>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</si>
  <si>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</si>
  <si>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</si>
  <si>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</si>
  <si>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</si>
  <si>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</si>
  <si>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</si>
  <si>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</si>
  <si>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</si>
  <si>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</si>
  <si>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</si>
  <si>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</si>
  <si>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</si>
  <si>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</si>
  <si>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</si>
  <si>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</si>
  <si>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</si>
  <si>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</si>
  <si>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</si>
  <si>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</si>
  <si>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</si>
  <si>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</si>
  <si>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</si>
  <si>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</si>
  <si>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</si>
  <si>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</si>
  <si>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</si>
  <si>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</si>
  <si>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</si>
  <si>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10.155</t>
  </si>
  <si>
    <t>10.156</t>
  </si>
  <si>
    <t>10.157</t>
  </si>
  <si>
    <t>10.158</t>
  </si>
  <si>
    <t>10.159</t>
  </si>
  <si>
    <t>10.160</t>
  </si>
  <si>
    <t>10.161</t>
  </si>
  <si>
    <t>10.162</t>
  </si>
  <si>
    <t>10.163</t>
  </si>
  <si>
    <t>10.165</t>
  </si>
  <si>
    <t>10.166</t>
  </si>
  <si>
    <t>10.167</t>
  </si>
  <si>
    <t>10.168</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</si>
  <si>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</si>
  <si>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</si>
  <si>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</si>
  <si>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</si>
  <si>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</si>
  <si>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</si>
  <si>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</si>
  <si>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</si>
  <si>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</si>
  <si>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</si>
  <si>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</si>
  <si>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</si>
  <si>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</si>
  <si>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</si>
  <si>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</si>
  <si>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</si>
  <si>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</si>
  <si>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</si>
  <si>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</si>
  <si>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</si>
  <si>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</si>
  <si>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</si>
  <si>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</si>
  <si>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</si>
  <si>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</si>
  <si>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</si>
  <si>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</si>
  <si>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</si>
  <si>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</si>
  <si>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</si>
  <si>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</si>
  <si>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</si>
  <si>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</si>
  <si>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</si>
  <si>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</si>
  <si>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</si>
  <si>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</si>
  <si>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</si>
  <si>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</si>
  <si>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</si>
  <si>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</si>
  <si>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</si>
  <si>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</si>
  <si>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</si>
  <si>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</si>
  <si>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</si>
  <si>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</si>
  <si>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</si>
  <si>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</si>
  <si>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</si>
  <si>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</si>
  <si>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</si>
  <si>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</si>
  <si>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</si>
  <si>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</si>
  <si>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</si>
  <si>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</si>
  <si>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</si>
  <si>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</si>
  <si>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</si>
  <si>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</si>
  <si>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</si>
  <si>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</si>
  <si>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</si>
  <si>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</si>
  <si>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</si>
  <si>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</si>
  <si>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</si>
  <si>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</si>
  <si>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</si>
  <si>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</si>
  <si>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</si>
  <si>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</si>
  <si>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</si>
  <si>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</si>
  <si>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</si>
  <si>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</si>
  <si>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</si>
  <si>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</si>
  <si>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</si>
  <si>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</si>
  <si>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</si>
  <si>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</si>
  <si>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</si>
  <si>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</si>
  <si>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</si>
  <si>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</si>
  <si>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</si>
  <si>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</si>
  <si>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</si>
  <si>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</si>
  <si>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</si>
  <si>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</si>
  <si>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</si>
  <si>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</si>
  <si>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</si>
  <si>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</si>
  <si>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</si>
  <si>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12.37</t>
  </si>
  <si>
    <t>12.38</t>
  </si>
  <si>
    <t>12.39</t>
  </si>
  <si>
    <t>12.40</t>
  </si>
  <si>
    <t>12.41</t>
  </si>
  <si>
    <t>12.42</t>
  </si>
  <si>
    <t>12.43</t>
  </si>
  <si>
    <t>12.44</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</si>
  <si>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</si>
  <si>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</si>
  <si>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</si>
  <si>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</si>
  <si>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</si>
  <si>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</si>
  <si>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</si>
  <si>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</si>
  <si>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</si>
  <si>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</si>
  <si>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</si>
  <si>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</si>
  <si>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</si>
  <si>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</si>
  <si>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</si>
  <si>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</si>
  <si>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</si>
  <si>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</si>
  <si>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</si>
  <si>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</si>
  <si>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</si>
  <si>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</si>
  <si>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</si>
  <si>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</si>
  <si>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</si>
  <si>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</si>
  <si>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</si>
  <si>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</si>
  <si>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</si>
  <si>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</si>
  <si>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</si>
  <si>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</si>
  <si>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</si>
  <si>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</si>
  <si>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</si>
  <si>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</si>
  <si>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</si>
  <si>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</si>
  <si>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</si>
  <si>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</si>
  <si>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</si>
  <si>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</si>
  <si>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</si>
  <si>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</si>
  <si>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</si>
  <si>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</si>
  <si>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</si>
  <si>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</si>
  <si>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</si>
  <si>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</si>
  <si>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</si>
  <si>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</si>
  <si>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</si>
  <si>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</si>
  <si>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</si>
  <si>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</si>
  <si>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</si>
  <si>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</si>
  <si>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</si>
  <si>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</si>
  <si>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</si>
  <si>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</si>
  <si>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</si>
  <si>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</si>
  <si>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</si>
  <si>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</si>
  <si>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</si>
  <si>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</si>
  <si>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</si>
  <si>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</si>
  <si>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</si>
  <si>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</si>
  <si>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</si>
  <si>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</si>
  <si>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</si>
  <si>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</si>
  <si>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</si>
  <si>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</si>
  <si>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</si>
  <si>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</si>
  <si>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</si>
  <si>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</si>
  <si>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2- LAB INFORMATION SYSTEM</t>
  </si>
  <si>
    <t>4. Clinic (primarily outpatient)</t>
  </si>
  <si>
    <t>6. Reference/referral lab not affiliated with a single healthcare facility or public health institute</t>
  </si>
  <si>
    <t>7. Other, e.g., Research Laboratory</t>
  </si>
  <si>
    <t>2. Hospital: Military</t>
  </si>
  <si>
    <t>1. Hospital: University Medical Center or Teaching Hospital</t>
  </si>
  <si>
    <t>3. Hospital: (not academic or military)</t>
  </si>
  <si>
    <t>Y</t>
  </si>
  <si>
    <t>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t>
  </si>
  <si>
    <t>For labs that DO use current cephalosporin and aztreonam breakpoints, CLSI and EUCAST no longer recommend routine testing for ESBL phenotype. Furthermore, if ESBL testing is performed and the test is positive, interpretations for beta-lactam agents do NOT need to be changed from susceptible to resistant. Has the lab discontinued editing AST results based on the ESBL result?</t>
  </si>
  <si>
    <t>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t>
  </si>
  <si>
    <t>Functional equipment?</t>
  </si>
  <si>
    <t>Please comment "insufficient" if the amount of functional equipment present is insufficient for the laboratory's volume of testing.</t>
  </si>
  <si>
    <t xml:space="preserve">DISTILLED/DEIONIZED WATER PREPARATION </t>
  </si>
  <si>
    <t>Is all prepared media stored at 2-8°C until use?</t>
  </si>
  <si>
    <t>AST Method used for each antibiotic (e.g., Disk, Etest, Instrument)</t>
  </si>
  <si>
    <t>Genital Cultures</t>
  </si>
  <si>
    <t>Does the lab perform the following types of culture?</t>
  </si>
  <si>
    <t>Other cultures of local importance (opportunity to customize via comments)</t>
  </si>
  <si>
    <t>CRE screen (e.g., rectal swab)</t>
  </si>
  <si>
    <t>Advanced degree in Medical Microbiology or Medical Laboratory Sciences (PhD, MD, equivalent)</t>
  </si>
  <si>
    <t>Advanced degree, other concentration (PhD, MD, equivalent)</t>
  </si>
  <si>
    <t>Proportion of staff with Med Micro or Med Lab Training</t>
  </si>
  <si>
    <t>Number of staff with Microbiology or Medical Lab Science Training</t>
  </si>
  <si>
    <t>Number of staff with other training</t>
  </si>
  <si>
    <t>Proportion of staff with Microbiology or Medical Lab Science Training</t>
  </si>
  <si>
    <t>Number of staff with a Graduate Bachelor's Degree or higher</t>
  </si>
  <si>
    <t>Number of staff with less than a Graduate Bachelor's Degree</t>
  </si>
  <si>
    <t>Proportion of staff with a Graduate Bachelor's Degree or higher</t>
  </si>
  <si>
    <t>This section will autopopulate, do not enter data</t>
  </si>
  <si>
    <t>Proportion of staff with Graduate Bachelor's Degree or more</t>
  </si>
  <si>
    <t>Are all currently in use media, reagents and test kits within the manufacturer-assigned expiry dates? (Verify by random sampling)</t>
  </si>
  <si>
    <t>n/a</t>
  </si>
  <si>
    <t>CULTURE OBSERVATION DATA FIELDS</t>
  </si>
  <si>
    <t>Observe culture data entry into the LIS. Are individual data fields present for each of the following?</t>
  </si>
  <si>
    <t>Organism name</t>
  </si>
  <si>
    <t>Do laboratory computers have antivirus software?</t>
  </si>
  <si>
    <t>If the lab does not participate in an EQA program, what is the reason? (Informational, not scored)</t>
  </si>
  <si>
    <t>Does the lab ever perform additional testing on an EQA isolate compared to what would be performed on a typical patient isolate?</t>
  </si>
  <si>
    <t>Does the lab ever send EQA isolates to another lab for confirmation before submitting results?</t>
  </si>
  <si>
    <t>Does the lab ever call another lab to ask what their EQA result was before submitting results?</t>
  </si>
  <si>
    <t>Please list provider in comments</t>
  </si>
  <si>
    <t>If yes, what is the star level of the latest SLIPTA audit?  Check the certificate.</t>
  </si>
  <si>
    <t>(0: 0 stars; 1: 1 stars; 2: 2 stars, 3: 3 stars; 4: 4 stars; 5: 5 stars, NA)</t>
  </si>
  <si>
    <t>Year awarded</t>
  </si>
  <si>
    <t>Year</t>
  </si>
  <si>
    <t>Does the lab (or other department) provide annual training to clinical staff on blood culture specimen collection?</t>
  </si>
  <si>
    <t>Does laboratory policy require that two "sets" of blood cultures are drawn?</t>
  </si>
  <si>
    <t>Does the policy specify that each blood culture should be obtained from a different venipuncture site?</t>
  </si>
  <si>
    <t>Collect prior to administering antibiotics to patient</t>
  </si>
  <si>
    <t>Respiratory culture</t>
  </si>
  <si>
    <t>The SOP should describe the colony appearance of potential pathogens on MAC other selective &amp; differential media used, and should define how to proceed when a potential pathogen is encountered</t>
  </si>
  <si>
    <t>Does the lab inoculate more than one patient sample on the same petri dish?</t>
  </si>
  <si>
    <t>Does the lab review important standards changes, eg. breakpoint changes, with the relevant hospital committees (e.g. pharmacy and therapeutics, stewardship)?</t>
  </si>
  <si>
    <t>Note: Select NA if the lab uses current breakpoints</t>
  </si>
  <si>
    <t>The methane sulfonate derivative of colistin ("cms") is an inactive pro-drug that breaks down slowly in solution and therefore cannot be used for AST.</t>
  </si>
  <si>
    <t>If the hospital has an Antibiotic Stewardship Committee, is a microbiolgist a member?</t>
  </si>
  <si>
    <t>Nitrofurantoin</t>
  </si>
  <si>
    <t>Is there an SOP that clearly defines the standard combination of antibiotics ("antibiotic panels") the lab will test against each of the following pathogens? (CLSI and EUCAST documents are not SOPs)</t>
  </si>
  <si>
    <t>AST POLICY</t>
  </si>
  <si>
    <t>1. Primary</t>
  </si>
  <si>
    <t>2. Secondary</t>
  </si>
  <si>
    <t>3. Tertiary</t>
  </si>
  <si>
    <t>Service level of the Hospital/Healthcare Facility</t>
  </si>
  <si>
    <t>Number of beds of the Hospital/Healthcare Facility</t>
  </si>
  <si>
    <t>Are all critical pieces of equipment attached to uninterrupted power source (UPS) devices? (These provide temporary power until the generator can be activated)</t>
  </si>
  <si>
    <t xml:space="preserve">Non-defrosting freezer, -60°C </t>
  </si>
  <si>
    <t>Does the lab have an automated blood culture instrument? (indicate manufacturer and model in comments)</t>
  </si>
  <si>
    <t>In the event of stock outs, is a contingency plan in place to provide uninterrupted bacteriology services?</t>
  </si>
  <si>
    <t>FACILITY</t>
  </si>
  <si>
    <t>DATA MANAGEMENT</t>
  </si>
  <si>
    <t>QUALITY ASSURANCE</t>
  </si>
  <si>
    <t>ID QC</t>
  </si>
  <si>
    <t>AST QC</t>
  </si>
  <si>
    <t>MEDIA PREPARATION AND QC</t>
  </si>
  <si>
    <t>SPECIMEN COLLECTION, TRANSPORT &amp; MANAGEMENT</t>
  </si>
  <si>
    <t>PROCESSING</t>
  </si>
  <si>
    <t>IDENTIFICATION</t>
  </si>
  <si>
    <t>BASIC AST</t>
  </si>
  <si>
    <t>AST EXPERT RULES</t>
  </si>
  <si>
    <t xml:space="preserve">SAFETY </t>
  </si>
  <si>
    <t>Section Scores/Performance Heatmap</t>
  </si>
  <si>
    <t>If the LIS and HIS/EMR are interfaced, describe the data flow between the LIS and the HIS/EMR</t>
  </si>
  <si>
    <t>Are culture observations/work cards retained for a defined time period (at least one year)?</t>
  </si>
  <si>
    <t>If AST results are fully or partially issued to physicians on paper, please describe that system.</t>
  </si>
  <si>
    <t>Does at least 50% of the technical staff possess formal education in microbiology or medical laboratory science? (Refer to the figure in column D)</t>
  </si>
  <si>
    <t>Are the test methods used on EQA isolates the same as the test methods used for routine patient isolates?</t>
  </si>
  <si>
    <t>Do plates have a uniform depth of approximately 4mm? Verify by examining a recent batch.</t>
  </si>
  <si>
    <t>Following manufacturer instructions, are all of the recommended ATCC strains in use for the identification kits?</t>
  </si>
  <si>
    <t>Following manufacturer instructions, are all of the recommended ATCC strains in use for the automated instrument ID cards/trays?</t>
  </si>
  <si>
    <t>Are unlabeled specimens rejected?</t>
  </si>
  <si>
    <t>Are mislabeled specimens rejected?</t>
  </si>
  <si>
    <t>Are leaking specimens rejected?</t>
  </si>
  <si>
    <t>Are rejection criteria written down in an SOP or bench aide for each specimen type?</t>
  </si>
  <si>
    <t>3. Blood agar only</t>
  </si>
  <si>
    <t>Does the laboratory have an SOP for how to process (plate) stool for bacterial culture? (request to see)</t>
  </si>
  <si>
    <t>1: Always 2:  Sometimes 3: Never; NA, lab does not perform slide coagulase testing</t>
  </si>
  <si>
    <t>If the lab serves multiple hospitals/facilities, are they able to separate the data by Facility?</t>
  </si>
  <si>
    <t>Equipment availability summary</t>
  </si>
  <si>
    <t>General equipment</t>
  </si>
  <si>
    <t>Media Preparation equipment</t>
  </si>
  <si>
    <t>RF1</t>
  </si>
  <si>
    <t>RF3</t>
  </si>
  <si>
    <t>RF9</t>
  </si>
  <si>
    <t>RF11</t>
  </si>
  <si>
    <t>RF13</t>
  </si>
  <si>
    <t>RF14</t>
  </si>
  <si>
    <t>RF15</t>
  </si>
  <si>
    <t>RF16</t>
  </si>
  <si>
    <t>RF17</t>
  </si>
  <si>
    <t>RF18</t>
  </si>
  <si>
    <t>RF19</t>
  </si>
  <si>
    <t>RF20</t>
  </si>
  <si>
    <t>RF21</t>
  </si>
  <si>
    <t>RF22</t>
  </si>
  <si>
    <t>RF23</t>
  </si>
  <si>
    <t>RF24</t>
  </si>
  <si>
    <t>RF25</t>
  </si>
  <si>
    <t>RF26</t>
  </si>
  <si>
    <t>RF27</t>
  </si>
  <si>
    <t>RF28</t>
  </si>
  <si>
    <t>RF29</t>
  </si>
  <si>
    <t>RF30</t>
  </si>
  <si>
    <t>RF31</t>
  </si>
  <si>
    <t>RF32</t>
  </si>
  <si>
    <t>RF33</t>
  </si>
  <si>
    <t>TF1</t>
  </si>
  <si>
    <t>TF2</t>
  </si>
  <si>
    <t>TF3</t>
  </si>
  <si>
    <t>TF4</t>
  </si>
  <si>
    <t>TF5</t>
  </si>
  <si>
    <t>TF6</t>
  </si>
  <si>
    <t>TF7</t>
  </si>
  <si>
    <t>TF8</t>
  </si>
  <si>
    <t>SF1</t>
  </si>
  <si>
    <t>SF2</t>
  </si>
  <si>
    <t>SF3</t>
  </si>
  <si>
    <t>SF4</t>
  </si>
  <si>
    <t>SF5</t>
  </si>
  <si>
    <t>SF6</t>
  </si>
  <si>
    <t>SF7</t>
  </si>
  <si>
    <t>SF8</t>
  </si>
  <si>
    <t>SF9</t>
  </si>
  <si>
    <t>AST PANEL POLICY</t>
  </si>
  <si>
    <t>Does the hospital have an Antibiotic Stewardship Committee?</t>
  </si>
  <si>
    <t>Does the hospital have a Pharmacy and Therapeutics Committee?</t>
  </si>
  <si>
    <t>If the hospital has a Pharmacy and Therapeutics Committee, is a microbiolgist a member?</t>
  </si>
  <si>
    <t>Does the hospital's Antibiotic Stewardship or Pharmacy and Therapeutic Committee meet at least annually to review national or international AST panel recommendations and modify them based on the hospital's formulary and cumulative antibiogram?</t>
  </si>
  <si>
    <t>Is the cumulative antibiogram reviewed annually by either an Antibiotic Stewardship or a Pharmacy &amp; Therapeutics Committee?</t>
  </si>
  <si>
    <t xml:space="preserve"> Does the lab practice “cascade reporting”?</t>
  </si>
  <si>
    <t>"Cascade reporting” is a strategy of selective reporting of AST results in which secondary agents (e.g., broader spectrum, more costly) may be suppressed or excluded from the patient report if an organism is susceptible to primary agents within the same drug class.</t>
  </si>
  <si>
    <t>With cascade reporting, there is a risk that the AST results excluded from the patient report may also be excluded from the main data repository or LIS. This can lead to highly biased AMR surveillance and cumulative antibiogram statistics.</t>
  </si>
  <si>
    <t>If the lab practices cascade reporting, is it done in a way which ensures that the AST results excluded from the patient report are NOT excluded from the LIS or other main data repository?</t>
  </si>
  <si>
    <t>13- AST PANELS, POLICY &amp; ANALYSIS</t>
  </si>
  <si>
    <t>13- AST PANELS, POLICY AND ANALYSIS</t>
  </si>
  <si>
    <t xml:space="preserve">AMR DATA SHARING </t>
  </si>
  <si>
    <t>Which of the following methods are currently used to submit data to the AMR surveillance network(s)?</t>
  </si>
  <si>
    <t>AST PANELS, POLICY AND ANALYSIS</t>
  </si>
  <si>
    <t xml:space="preserve">Beginning in 2009, CLSI and EUCAST lowered the breakpoints for several beta-lactam antibiotics and Aztreonam in order to enhance the detection of resistance. </t>
  </si>
  <si>
    <t>EUCAST 2019</t>
  </si>
  <si>
    <t>MIC method</t>
  </si>
  <si>
    <t>Disk Diffusion</t>
  </si>
  <si>
    <t>S</t>
  </si>
  <si>
    <t>R</t>
  </si>
  <si>
    <t>Ciprofloxacin</t>
  </si>
  <si>
    <r>
      <t>&lt;</t>
    </r>
    <r>
      <rPr>
        <sz val="9"/>
        <color theme="1"/>
        <rFont val="Calibri"/>
        <family val="2"/>
        <scheme val="minor"/>
      </rPr>
      <t>0.06</t>
    </r>
  </si>
  <si>
    <t>0.12-0.5</t>
  </si>
  <si>
    <r>
      <t>&gt;</t>
    </r>
    <r>
      <rPr>
        <sz val="9"/>
        <color theme="1"/>
        <rFont val="Calibri"/>
        <family val="2"/>
        <scheme val="minor"/>
      </rPr>
      <t>1</t>
    </r>
  </si>
  <si>
    <r>
      <t>&gt;</t>
    </r>
    <r>
      <rPr>
        <sz val="9"/>
        <color theme="1"/>
        <rFont val="Calibri"/>
        <family val="2"/>
        <scheme val="minor"/>
      </rPr>
      <t>31</t>
    </r>
  </si>
  <si>
    <t>21-30</t>
  </si>
  <si>
    <r>
      <t>&lt;</t>
    </r>
    <r>
      <rPr>
        <sz val="9"/>
        <color theme="1"/>
        <rFont val="Calibri"/>
        <family val="2"/>
        <scheme val="minor"/>
      </rPr>
      <t>20</t>
    </r>
  </si>
  <si>
    <t>-</t>
  </si>
  <si>
    <t>&gt;0.06</t>
  </si>
  <si>
    <t>Levofloxacin</t>
  </si>
  <si>
    <r>
      <t>&lt;</t>
    </r>
    <r>
      <rPr>
        <sz val="9"/>
        <color theme="1"/>
        <rFont val="Calibri"/>
        <family val="2"/>
        <scheme val="minor"/>
      </rPr>
      <t>0.12</t>
    </r>
  </si>
  <si>
    <t>0.25-1</t>
  </si>
  <si>
    <r>
      <t>&gt;</t>
    </r>
    <r>
      <rPr>
        <sz val="9"/>
        <color theme="1"/>
        <rFont val="Calibri"/>
        <family val="2"/>
        <scheme val="minor"/>
      </rPr>
      <t>2</t>
    </r>
  </si>
  <si>
    <t>Pefloxacin screen</t>
  </si>
  <si>
    <r>
      <t>&gt;</t>
    </r>
    <r>
      <rPr>
        <sz val="9"/>
        <color theme="1"/>
        <rFont val="Calibri"/>
        <family val="2"/>
        <scheme val="minor"/>
      </rPr>
      <t>24</t>
    </r>
  </si>
  <si>
    <r>
      <t>&lt;</t>
    </r>
    <r>
      <rPr>
        <sz val="9"/>
        <color theme="1"/>
        <rFont val="Calibri"/>
        <family val="2"/>
        <scheme val="minor"/>
      </rPr>
      <t>23</t>
    </r>
  </si>
  <si>
    <t>Aztreonam</t>
  </si>
  <si>
    <r>
      <t>&lt;</t>
    </r>
    <r>
      <rPr>
        <sz val="9"/>
        <color theme="1"/>
        <rFont val="Calibri"/>
        <family val="2"/>
        <scheme val="minor"/>
      </rPr>
      <t>4</t>
    </r>
  </si>
  <si>
    <r>
      <t>&gt;</t>
    </r>
    <r>
      <rPr>
        <sz val="9"/>
        <color theme="1"/>
        <rFont val="Calibri"/>
        <family val="2"/>
        <scheme val="minor"/>
      </rPr>
      <t>16</t>
    </r>
  </si>
  <si>
    <r>
      <t>&gt;</t>
    </r>
    <r>
      <rPr>
        <sz val="9"/>
        <color theme="1"/>
        <rFont val="Calibri"/>
        <family val="2"/>
        <scheme val="minor"/>
      </rPr>
      <t>21</t>
    </r>
  </si>
  <si>
    <t>18-20</t>
  </si>
  <si>
    <r>
      <t>&lt;</t>
    </r>
    <r>
      <rPr>
        <sz val="9"/>
        <color theme="1"/>
        <rFont val="Calibri"/>
        <family val="2"/>
        <scheme val="minor"/>
      </rPr>
      <t>17</t>
    </r>
  </si>
  <si>
    <r>
      <t>&lt;</t>
    </r>
    <r>
      <rPr>
        <sz val="9"/>
        <color theme="1"/>
        <rFont val="Calibri"/>
        <family val="2"/>
        <scheme val="minor"/>
      </rPr>
      <t>1</t>
    </r>
  </si>
  <si>
    <t>&gt;4</t>
  </si>
  <si>
    <r>
      <t>&gt;</t>
    </r>
    <r>
      <rPr>
        <sz val="9"/>
        <color theme="1"/>
        <rFont val="Calibri"/>
        <family val="2"/>
        <scheme val="minor"/>
      </rPr>
      <t>20</t>
    </r>
  </si>
  <si>
    <t>&lt;17</t>
  </si>
  <si>
    <r>
      <t>&gt;</t>
    </r>
    <r>
      <rPr>
        <sz val="9"/>
        <color theme="1"/>
        <rFont val="Calibri"/>
        <family val="2"/>
        <scheme val="minor"/>
      </rPr>
      <t>4</t>
    </r>
  </si>
  <si>
    <r>
      <t>&gt;</t>
    </r>
    <r>
      <rPr>
        <sz val="9"/>
        <color theme="1"/>
        <rFont val="Calibri"/>
        <family val="2"/>
        <scheme val="minor"/>
      </rPr>
      <t>26</t>
    </r>
  </si>
  <si>
    <t>23-25</t>
  </si>
  <si>
    <r>
      <t>&lt;</t>
    </r>
    <r>
      <rPr>
        <sz val="9"/>
        <color theme="1"/>
        <rFont val="Calibri"/>
        <family val="2"/>
        <scheme val="minor"/>
      </rPr>
      <t>22</t>
    </r>
  </si>
  <si>
    <t>&gt;2</t>
  </si>
  <si>
    <r>
      <t>&gt;</t>
    </r>
    <r>
      <rPr>
        <sz val="9"/>
        <color theme="1"/>
        <rFont val="Calibri"/>
        <family val="2"/>
        <scheme val="minor"/>
      </rPr>
      <t>23</t>
    </r>
  </si>
  <si>
    <t>20-22</t>
  </si>
  <si>
    <r>
      <t>&lt;</t>
    </r>
    <r>
      <rPr>
        <sz val="9"/>
        <color theme="1"/>
        <rFont val="Calibri"/>
        <family val="2"/>
        <scheme val="minor"/>
      </rPr>
      <t>19</t>
    </r>
  </si>
  <si>
    <r>
      <t>&gt;</t>
    </r>
    <r>
      <rPr>
        <sz val="9"/>
        <color theme="1"/>
        <rFont val="Calibri"/>
        <family val="2"/>
        <scheme val="minor"/>
      </rPr>
      <t>25</t>
    </r>
  </si>
  <si>
    <t>&lt;22</t>
  </si>
  <si>
    <t>Ceftazidime</t>
  </si>
  <si>
    <r>
      <t>&gt;</t>
    </r>
    <r>
      <rPr>
        <sz val="9"/>
        <color theme="1"/>
        <rFont val="Calibri"/>
        <family val="2"/>
        <scheme val="minor"/>
      </rPr>
      <t>22</t>
    </r>
  </si>
  <si>
    <t>&lt;19</t>
  </si>
  <si>
    <r>
      <t>&lt;</t>
    </r>
    <r>
      <rPr>
        <sz val="9"/>
        <color theme="1"/>
        <rFont val="Calibri"/>
        <family val="2"/>
        <scheme val="minor"/>
      </rPr>
      <t>2</t>
    </r>
  </si>
  <si>
    <t>19-24*</t>
  </si>
  <si>
    <r>
      <t>&lt;</t>
    </r>
    <r>
      <rPr>
        <sz val="9"/>
        <color theme="1"/>
        <rFont val="Calibri"/>
        <family val="2"/>
        <scheme val="minor"/>
      </rPr>
      <t>18</t>
    </r>
  </si>
  <si>
    <r>
      <t>&gt;</t>
    </r>
    <r>
      <rPr>
        <sz val="9"/>
        <color theme="1"/>
        <rFont val="Calibri"/>
        <family val="2"/>
        <scheme val="minor"/>
      </rPr>
      <t>27</t>
    </r>
  </si>
  <si>
    <t>&lt;21</t>
  </si>
  <si>
    <t>&gt;8</t>
  </si>
  <si>
    <t>&lt;16</t>
  </si>
  <si>
    <t>Doripenem</t>
  </si>
  <si>
    <r>
      <t>&lt;</t>
    </r>
    <r>
      <rPr>
        <sz val="9"/>
        <color theme="1"/>
        <rFont val="Calibri"/>
        <family val="2"/>
        <scheme val="minor"/>
      </rPr>
      <t>0.5</t>
    </r>
  </si>
  <si>
    <t>19-21</t>
  </si>
  <si>
    <t>&gt;0.5</t>
  </si>
  <si>
    <t>&lt;25</t>
  </si>
  <si>
    <t>Acinetobacter spp.</t>
  </si>
  <si>
    <r>
      <t>&gt;</t>
    </r>
    <r>
      <rPr>
        <sz val="9"/>
        <color theme="1"/>
        <rFont val="Calibri"/>
        <family val="2"/>
        <scheme val="minor"/>
      </rPr>
      <t>8</t>
    </r>
  </si>
  <si>
    <r>
      <t>&gt;</t>
    </r>
    <r>
      <rPr>
        <sz val="9"/>
        <color theme="1"/>
        <rFont val="Calibri"/>
        <family val="2"/>
        <scheme val="minor"/>
      </rPr>
      <t>18</t>
    </r>
  </si>
  <si>
    <t>15-17</t>
  </si>
  <si>
    <r>
      <t>&lt;</t>
    </r>
    <r>
      <rPr>
        <sz val="9"/>
        <color theme="1"/>
        <rFont val="Calibri"/>
        <family val="2"/>
        <scheme val="minor"/>
      </rPr>
      <t>14</t>
    </r>
  </si>
  <si>
    <t>&lt;15</t>
  </si>
  <si>
    <r>
      <t>&lt;</t>
    </r>
    <r>
      <rPr>
        <sz val="9"/>
        <color theme="1"/>
        <rFont val="Calibri"/>
        <family val="2"/>
        <scheme val="minor"/>
      </rPr>
      <t>8</t>
    </r>
  </si>
  <si>
    <r>
      <t>&gt;</t>
    </r>
    <r>
      <rPr>
        <sz val="9"/>
        <color theme="1"/>
        <rFont val="Calibri"/>
        <family val="2"/>
        <scheme val="minor"/>
      </rPr>
      <t>32</t>
    </r>
  </si>
  <si>
    <t>16-21</t>
  </si>
  <si>
    <r>
      <t>&lt;</t>
    </r>
    <r>
      <rPr>
        <sz val="9"/>
        <color theme="1"/>
        <rFont val="Calibri"/>
        <family val="2"/>
        <scheme val="minor"/>
      </rPr>
      <t>15</t>
    </r>
  </si>
  <si>
    <r>
      <t>&lt;</t>
    </r>
    <r>
      <rPr>
        <sz val="9"/>
        <color theme="1"/>
        <rFont val="Calibri"/>
        <family val="2"/>
        <scheme val="minor"/>
      </rPr>
      <t>16</t>
    </r>
  </si>
  <si>
    <t>&gt;16</t>
  </si>
  <si>
    <t>&lt;18</t>
  </si>
  <si>
    <t>Piperacillin</t>
  </si>
  <si>
    <t>32-64</t>
  </si>
  <si>
    <r>
      <t>&gt;</t>
    </r>
    <r>
      <rPr>
        <sz val="9"/>
        <color theme="1"/>
        <rFont val="Calibri"/>
        <family val="2"/>
        <scheme val="minor"/>
      </rPr>
      <t>128</t>
    </r>
  </si>
  <si>
    <t>15-20</t>
  </si>
  <si>
    <t>Pip-Tazo</t>
  </si>
  <si>
    <t>100/10</t>
  </si>
  <si>
    <t>30/6</t>
  </si>
  <si>
    <t>Ticar-Clav</t>
  </si>
  <si>
    <t>75/10</t>
  </si>
  <si>
    <t>16-23</t>
  </si>
  <si>
    <r>
      <t>&gt;</t>
    </r>
    <r>
      <rPr>
        <sz val="9"/>
        <color theme="1"/>
        <rFont val="Calibri"/>
        <family val="2"/>
        <scheme val="minor"/>
      </rPr>
      <t>19</t>
    </r>
  </si>
  <si>
    <t>16-18</t>
  </si>
  <si>
    <t>&lt;20</t>
  </si>
  <si>
    <t>12.97</t>
  </si>
  <si>
    <t>11.65</t>
  </si>
  <si>
    <t>Genital culture</t>
  </si>
  <si>
    <t>Cerebrospinal fluid culture</t>
  </si>
  <si>
    <t>Sterile body fluid culture (pleural, pericardial, peritoneal, synovial)</t>
  </si>
  <si>
    <t>Sterile Body Fluid Cultures (pleural, pericardial, peritoneal, synovial)</t>
  </si>
  <si>
    <t>8.49</t>
  </si>
  <si>
    <t>8.50</t>
  </si>
  <si>
    <t>8.51</t>
  </si>
  <si>
    <t>8.52</t>
  </si>
  <si>
    <t>8.53</t>
  </si>
  <si>
    <t>8.54</t>
  </si>
  <si>
    <t>8.55</t>
  </si>
  <si>
    <t>8.56</t>
  </si>
  <si>
    <t>8.57</t>
  </si>
  <si>
    <t>8.58</t>
  </si>
  <si>
    <t>Are specimens rejected if not transported to the lab within established time limits?</t>
  </si>
  <si>
    <t>Are specimens rejected if there is evidence that they were not maintained in proper conditions during and prior to transport?</t>
  </si>
  <si>
    <t>8.59</t>
  </si>
  <si>
    <t>Labs that wish to reduce the frequency of antibiotic QC from daily to weekly may do so after demonstrating satisfactory performance with daily QC using one of two plans described in CLSI M02, section 4.7. Either the 20-30 day plan, or the 15-replicate plan.</t>
  </si>
  <si>
    <t>Is media prepared in a separate room, apart from the room where specimens and cultures are processed?</t>
  </si>
  <si>
    <t>Is media prepared in a clean room?</t>
  </si>
  <si>
    <t>MRSA screen for Infection Control purposes (e.g., nares, axilla, groin)</t>
  </si>
  <si>
    <t>VRE screen for Infection Control purposes (e.g., rectal swab)</t>
  </si>
  <si>
    <t>Respiratory Cultures (not TB/AFB)</t>
  </si>
  <si>
    <t>First Name</t>
  </si>
  <si>
    <t>Last name</t>
  </si>
  <si>
    <t>Are the media suspensions mixed with a magnetic stir bar while boiling?</t>
  </si>
  <si>
    <t>Stool Cultures (all bacterial enteric pathogens)</t>
  </si>
  <si>
    <t>Vibrio cholerae</t>
  </si>
  <si>
    <t>Yersinia enterocolitic</t>
  </si>
  <si>
    <t>Campylobacter jejuni</t>
  </si>
  <si>
    <t>Please indicate if the lab performs stool culture for the following enteric pathogens. Do not enter the number of cultures.</t>
  </si>
  <si>
    <t>Is the same autoclave used for both media preparation and waste sterilization?</t>
  </si>
  <si>
    <t>1.108</t>
  </si>
  <si>
    <t>1.109</t>
  </si>
  <si>
    <t>1.110</t>
  </si>
  <si>
    <t>1.111</t>
  </si>
  <si>
    <t>1.112</t>
  </si>
  <si>
    <t>1.113</t>
  </si>
  <si>
    <t>1.114</t>
  </si>
  <si>
    <t>1.115</t>
  </si>
  <si>
    <t>1.116</t>
  </si>
  <si>
    <t>1.117</t>
  </si>
  <si>
    <t>1.118</t>
  </si>
  <si>
    <t>1.119</t>
  </si>
  <si>
    <t>1.120</t>
  </si>
  <si>
    <t>1.121</t>
  </si>
  <si>
    <t>2 - LABORATORY INFORMATION SYSTEM (ELECTRONIC)</t>
  </si>
  <si>
    <t>Does the laboratory use a computer-based Laboratory Information System (LIS)?</t>
  </si>
  <si>
    <t>3.46</t>
  </si>
  <si>
    <t>3.47</t>
  </si>
  <si>
    <t>3.48</t>
  </si>
  <si>
    <t>3.49</t>
  </si>
  <si>
    <t>3.50</t>
  </si>
  <si>
    <t>3.51</t>
  </si>
  <si>
    <t>3.52</t>
  </si>
  <si>
    <t>3.54</t>
  </si>
  <si>
    <t>3.55</t>
  </si>
  <si>
    <t>3.56</t>
  </si>
  <si>
    <t>3.57</t>
  </si>
  <si>
    <t>3.58</t>
  </si>
  <si>
    <t>3.59</t>
  </si>
  <si>
    <t>4.35</t>
  </si>
  <si>
    <t>5.17</t>
  </si>
  <si>
    <t>5.18</t>
  </si>
  <si>
    <t>5.21</t>
  </si>
  <si>
    <t>5.26</t>
  </si>
  <si>
    <t>5.27</t>
  </si>
  <si>
    <t>5.28</t>
  </si>
  <si>
    <t>Does the lab prepare blood culture bottles in-house?</t>
  </si>
  <si>
    <t>5.59</t>
  </si>
  <si>
    <t>5.60</t>
  </si>
  <si>
    <t>8- SPECIMEN COLLECTION, TRANSPORT &amp; MANAGEMENT</t>
  </si>
  <si>
    <t>Is a training module in safety/biosafety available in the laboratory?</t>
  </si>
  <si>
    <t>Gloves</t>
  </si>
  <si>
    <t>Gowns</t>
  </si>
  <si>
    <t>Goggles</t>
  </si>
  <si>
    <t>Aerosol face protection (mask, face shield, or splatter guard)</t>
  </si>
  <si>
    <t>Is all necessary personal protective equipment (PPE) available for BSL2?</t>
  </si>
  <si>
    <t>SA25</t>
  </si>
  <si>
    <t>SA26</t>
  </si>
  <si>
    <t>Are sensitive specimens processed within one hour of reaching the laboratory?</t>
  </si>
  <si>
    <t>Following card/tray inoculation, does the lab use the remaining inoculum to make a purity plate?</t>
  </si>
  <si>
    <t>Is sodium polyanethole sulfonate (SPS) added? (an anticoagulant and growth stabilizer)</t>
  </si>
  <si>
    <t>Are resins or charcoal added? (to bind antimicrobials present in the patient's blood)</t>
  </si>
  <si>
    <t>Visual inspection performed and documented</t>
  </si>
  <si>
    <t>5.61</t>
  </si>
  <si>
    <t>Is 50mL of broth dispensed into sterile bottles for adult patients? (1:5 blood:broth ratio)</t>
  </si>
  <si>
    <t>Is 25mL of broth dispensed into sterile bottles for pediatric patients? (1:5 blood:broth ratio)</t>
  </si>
  <si>
    <t>Do QC records for blood culture bottles indicate the following:</t>
  </si>
  <si>
    <t>Are any growth-promoters added? (Such as: Gelatin, Yeast Extract, Hemin (X-factor), NAD (Y-factor), Pyridoxine, Para-amino benzoic acid, Cysteine)</t>
  </si>
  <si>
    <t>If yes, please descrube in comments</t>
  </si>
  <si>
    <t>If yes, please describe in comments</t>
  </si>
  <si>
    <t>5.62</t>
  </si>
  <si>
    <t>5.63</t>
  </si>
  <si>
    <t>Is a safety/biosafety manual available in the laboratory and easily accessible to all staff?</t>
  </si>
  <si>
    <t>Are risk assessments conducted annually and each time a new analysis/technology/equipment is introduced?</t>
  </si>
  <si>
    <t>Is there documentation demonstrating that accident/incident investigations are systematically conducted?</t>
  </si>
  <si>
    <t>Are all hazardous chemicals stored appropriately (acids separate from alkaline; flammables in a flame cabinet)?</t>
  </si>
  <si>
    <t>Is there documentation demonstrating that an annual safety/biosafety refresher course is conducted for all staff handling specimens, isolates, or chemicals?</t>
  </si>
  <si>
    <t>Do laboratory computers have genuine (not pirated) Operating Systems?</t>
  </si>
  <si>
    <t>Red Flags</t>
  </si>
  <si>
    <t>Total number of Red Flags</t>
  </si>
  <si>
    <t>System Flag</t>
  </si>
  <si>
    <t>Total number of System Flags</t>
  </si>
  <si>
    <t>Total number of Training Opportunities</t>
  </si>
  <si>
    <t>Training Opportunities</t>
  </si>
  <si>
    <t xml:space="preserve">Other cultures of local imoprtance </t>
  </si>
  <si>
    <t>Positive controls are in use</t>
  </si>
  <si>
    <t>Negative controls are in use</t>
  </si>
  <si>
    <t>Has the laboratory ever been enrolled in the WHO LQSI program? What year?</t>
  </si>
  <si>
    <t>If yes, what was the last overall % score for the 4 phases? What year?</t>
  </si>
  <si>
    <t>Has the laboratory ever been enrolled in any other mentoring program for Laboratory Quality Management (National, Regional, International)? When?</t>
  </si>
  <si>
    <t>1: ILAC Full Member; 2: ILAC Associate Member; 3: ILAC Affiliate Member;  4: ILAC Stakeholder; 5: ILAC Regional Cooperation Body; 6: Other/Don't know; 7: National Accrediting Board; NA</t>
  </si>
  <si>
    <t>0.59</t>
  </si>
  <si>
    <t>0.60</t>
  </si>
  <si>
    <t>0.61</t>
  </si>
  <si>
    <t>0.62</t>
  </si>
  <si>
    <t>0.63</t>
  </si>
  <si>
    <t>0.64</t>
  </si>
  <si>
    <t>0.65</t>
  </si>
  <si>
    <t>0.66</t>
  </si>
  <si>
    <t>0.67</t>
  </si>
  <si>
    <t>0.68</t>
  </si>
  <si>
    <t>0.69</t>
  </si>
  <si>
    <t>0.70</t>
  </si>
  <si>
    <t>0.71</t>
  </si>
  <si>
    <t>(ILAC = International Laboratory Accreditation Cooperation)</t>
  </si>
  <si>
    <t>https://ilac.org/signatory-search/#elementid</t>
  </si>
  <si>
    <t>SF10</t>
  </si>
  <si>
    <t>LAB INFORMATION SYSTEM (Excluded from overall score)</t>
  </si>
  <si>
    <t>Patient Location (Ward or Unit at the time of specimen collection, e.g., "ICU")</t>
  </si>
  <si>
    <t>Gram stain of bacterial colony</t>
  </si>
  <si>
    <t>Description of colony quantities (e.g. "1+, 2+, 3+, 4+" or "few, moderate, many")</t>
  </si>
  <si>
    <t>Description of colony morphologies (e.g. "mucoid lactose fermenter" or "beta-hemolytic")</t>
  </si>
  <si>
    <t>Isolate number (e.g., when more than one pathogen is encountered in a culture: isolate #1, isolate #2)</t>
  </si>
  <si>
    <t>NA: no automated instruments</t>
  </si>
  <si>
    <t>Are specimen numbers assigned in such a way that no two specimens are given the same number during one year?</t>
  </si>
  <si>
    <t>Are patient ID numbers assigned in such a way that no two patients are given the same number in the course of one year?</t>
  </si>
  <si>
    <t>Do patients retain the same patient ID number each time they are admitted to the hospital?</t>
  </si>
  <si>
    <t>3: Handwritten on a paper work card (e.g., the back of the specimen requisition) or in a logbook</t>
  </si>
  <si>
    <t>How frequently are the lab’s electronic records backed up?</t>
  </si>
  <si>
    <t xml:space="preserve">What method is used to back up the lab’s electronic patient records? </t>
  </si>
  <si>
    <t>1: Facility or cloud server - 2: External hard drive, USB, or CD - 3: Internal hard drive (PC or laptop) - 4: None - NA: do not use an electronic database for patient records</t>
  </si>
  <si>
    <t>Does the lab have a standardized process for training new employees?</t>
  </si>
  <si>
    <t>Name of media</t>
  </si>
  <si>
    <t>Date of preparation</t>
  </si>
  <si>
    <t>Batch number</t>
  </si>
  <si>
    <t>Quantity made</t>
  </si>
  <si>
    <t>Name of preparer</t>
  </si>
  <si>
    <t>Expiration Date</t>
  </si>
  <si>
    <t>Expiration date</t>
  </si>
  <si>
    <t>Date opened</t>
  </si>
  <si>
    <t>Dyes and pH indicators in MAC and EMB plates provide a color indicator to distinguish between lactose fermenting (LF) and non-lactose fermenting (NLF) Gram negative organisms. Do QC records for MAC and/or EMB plates demonstrate that each batch/lot is challenged using both LF and NLF organisms?</t>
  </si>
  <si>
    <t>Do QC records for selective stool agar plates demonstrate that they are checked for their ability to make the acid byproducts of carbohydrate fermentation visible using both fermenters and nonfermenters?</t>
  </si>
  <si>
    <t>Name of reagent</t>
  </si>
  <si>
    <t>Date of opening</t>
  </si>
  <si>
    <t>Date of preparation/reconstitution (if relevant, e.g., coagulase)</t>
  </si>
  <si>
    <t xml:space="preserve"> If serology testing is not performed, check NA.</t>
  </si>
  <si>
    <t>Weekly working stock culture, or “F2”, stored at 2-8°C for up to 1 week, then discarded</t>
  </si>
  <si>
    <t>Daily subculture, or “F3”, discarded after one day of use.</t>
  </si>
  <si>
    <t>Are reference strains stored as follows?</t>
  </si>
  <si>
    <t>Does the lab have the following ATCC reference strains in stock? (CIP equivalents are also shown)</t>
  </si>
  <si>
    <t>Does the lab have the following reference strains in stock? (CIP equivalents are also shown)</t>
  </si>
  <si>
    <t>Is antibiotic strip QC performed using the recommended ATCC reference strains below? (Review QC records to confirm)</t>
  </si>
  <si>
    <t>Is QC of automated AST systems performed using the recommended ATCC reference strains below? (Review QC records to confirm)</t>
  </si>
  <si>
    <t>When specimens are rejected, does the lab notify the ward or clinic immediately so that a new specimen may be collected?</t>
  </si>
  <si>
    <t>Are disposable reaction cards discarded after use (not reused)?</t>
  </si>
  <si>
    <t>1: Yes; 2: Partial; 3: No; NA: automated methods are not used</t>
  </si>
  <si>
    <t>If the antibiotic disk cartridge has a cap, is the cap replaced each time the cartridge is opened?</t>
  </si>
  <si>
    <t>Once opened, are in-use antibiotic disks stored in such a way that the lot number and expiration date of each disk is always traceable? (When individual disks are removed and transferred to secondary containers, lot numbers may become mixed and expired disks may inadvertently be used.)</t>
  </si>
  <si>
    <t>Is the plate held above a black, non-reflective background?</t>
  </si>
  <si>
    <t>Is the plate inverted and zones measured from underneath?</t>
  </si>
  <si>
    <t>Look at the cefotaxime disks currently in use. Does the drug concentration correspond correctly to the standard the lab uses? (CLSI breakpoints require 30ug disks, EUCAST breakpoints require 5ug disks).</t>
  </si>
  <si>
    <t>(Select NA if the antibiotic is not in use)</t>
  </si>
  <si>
    <t>NOTE: Questions 12.26 and 12.27 only apply to labs that do NOT use current cephalosporin and aztreonam breakpoints. If this lab uses current breakpoints, select NA for both questions and skip to question 12.28</t>
  </si>
  <si>
    <t>If no, answer NA until Carbapenemase Testing Section</t>
  </si>
  <si>
    <t>For labs that DO use current carbapenem breakpoints, CLSI and EUCAST no longer recommend routine testing for carbapenemase production. Furthermore, if such testing is performed and the test is positive, interpretations for carbapenems do NOT need to be changed from susceptible to resistant. Has the lab discontinued editing AST results based on the carbapenemase result?</t>
  </si>
  <si>
    <t>EXPERT RULES FOR CEREBROSPINAL FLUID (CSF)</t>
  </si>
  <si>
    <t>12.98</t>
  </si>
  <si>
    <t>12.99</t>
  </si>
  <si>
    <t>12.100</t>
  </si>
  <si>
    <t>12.101</t>
  </si>
  <si>
    <t>12.102</t>
  </si>
  <si>
    <t>12.103</t>
  </si>
  <si>
    <t>12.104</t>
  </si>
  <si>
    <t>12.105</t>
  </si>
  <si>
    <t>Biosafety cabinets (Class IIA)</t>
  </si>
  <si>
    <t>Hand-washing station</t>
  </si>
  <si>
    <t>Eyewash station/bottle</t>
  </si>
  <si>
    <t>Sharps containers</t>
  </si>
  <si>
    <t>Flame cabinet (for securely storing flammable liquids, e.g. ethanol)</t>
  </si>
  <si>
    <t>Covers on each centrifuge bucket</t>
  </si>
  <si>
    <t>Cover over centrifuge rotor</t>
  </si>
  <si>
    <t>Spill kit</t>
  </si>
  <si>
    <t>First aid kit</t>
  </si>
  <si>
    <t>SA27</t>
  </si>
  <si>
    <t>SA28</t>
  </si>
  <si>
    <t>RF2</t>
  </si>
  <si>
    <t>RF4</t>
  </si>
  <si>
    <t>RF5</t>
  </si>
  <si>
    <t>RF6</t>
  </si>
  <si>
    <t>RF7</t>
  </si>
  <si>
    <t>Training Opportunities highlight areas where sufficient training is frequently lacking</t>
  </si>
  <si>
    <t>Indicate whether the lab has the following FUNCTIONAL pieces of equipment.</t>
  </si>
  <si>
    <t>RF10</t>
  </si>
  <si>
    <t>RF12</t>
  </si>
  <si>
    <t>RF34</t>
  </si>
  <si>
    <t>RF35</t>
  </si>
  <si>
    <t>RF36</t>
  </si>
  <si>
    <t>RF37</t>
  </si>
  <si>
    <t>RF38</t>
  </si>
  <si>
    <t>RF39</t>
  </si>
  <si>
    <t>RF40</t>
  </si>
  <si>
    <t>RF41</t>
  </si>
  <si>
    <t>RF42</t>
  </si>
  <si>
    <t>RF43</t>
  </si>
  <si>
    <t>RF44</t>
  </si>
  <si>
    <t>RF45</t>
  </si>
  <si>
    <t>RF46</t>
  </si>
  <si>
    <t>RF47</t>
  </si>
  <si>
    <t>RF48</t>
  </si>
  <si>
    <t>RF49</t>
  </si>
  <si>
    <t>RF50</t>
  </si>
  <si>
    <t>RF51</t>
  </si>
  <si>
    <t>RF52</t>
  </si>
  <si>
    <t>RF53</t>
  </si>
  <si>
    <t>RF54</t>
  </si>
  <si>
    <t>RF55</t>
  </si>
  <si>
    <t>RF56</t>
  </si>
  <si>
    <t>RF57</t>
  </si>
  <si>
    <t>RF58</t>
  </si>
  <si>
    <t>RF59</t>
  </si>
  <si>
    <t>RF60</t>
  </si>
  <si>
    <t>RF61</t>
  </si>
  <si>
    <t>RF62</t>
  </si>
  <si>
    <t>RF63</t>
  </si>
  <si>
    <t>RF64</t>
  </si>
  <si>
    <t>RF65</t>
  </si>
  <si>
    <t>RF66</t>
  </si>
  <si>
    <t>RF67</t>
  </si>
  <si>
    <t>RF68</t>
  </si>
  <si>
    <t>RF69</t>
  </si>
  <si>
    <t>RF70</t>
  </si>
  <si>
    <t>RF71</t>
  </si>
  <si>
    <t>RF72</t>
  </si>
  <si>
    <t>RF73</t>
  </si>
  <si>
    <t>RF74</t>
  </si>
  <si>
    <t>RF75</t>
  </si>
  <si>
    <t>RF76</t>
  </si>
  <si>
    <t>RF77</t>
  </si>
  <si>
    <t>RF78</t>
  </si>
  <si>
    <t>RF79</t>
  </si>
  <si>
    <t>RF80</t>
  </si>
  <si>
    <t>RF81</t>
  </si>
  <si>
    <t>RF82</t>
  </si>
  <si>
    <t>RF83</t>
  </si>
  <si>
    <t>RF84</t>
  </si>
  <si>
    <t>RF85</t>
  </si>
  <si>
    <t>RF86</t>
  </si>
  <si>
    <t>RF87</t>
  </si>
  <si>
    <t>RF88</t>
  </si>
  <si>
    <t>RF89</t>
  </si>
  <si>
    <t>RF90</t>
  </si>
  <si>
    <t>RF91</t>
  </si>
  <si>
    <t>RF92</t>
  </si>
  <si>
    <t>RF93</t>
  </si>
  <si>
    <t>RF94</t>
  </si>
  <si>
    <t>RF95</t>
  </si>
  <si>
    <t>RF96</t>
  </si>
  <si>
    <t>RF97</t>
  </si>
  <si>
    <t>RF98</t>
  </si>
  <si>
    <t>RF99</t>
  </si>
  <si>
    <t>TF9</t>
  </si>
  <si>
    <t>SF11</t>
  </si>
  <si>
    <t>SF12</t>
  </si>
  <si>
    <t>SF13</t>
  </si>
  <si>
    <t>SF14</t>
  </si>
  <si>
    <t>SF15</t>
  </si>
  <si>
    <t>SF16</t>
  </si>
  <si>
    <t>SF17</t>
  </si>
  <si>
    <t>SF18</t>
  </si>
  <si>
    <t>SF19</t>
  </si>
  <si>
    <t>SF20</t>
  </si>
  <si>
    <t>SF21</t>
  </si>
  <si>
    <t xml:space="preserve">Which base broth is used? (Broth must support growth of a wide range of bacterial species) </t>
  </si>
  <si>
    <t>Are unused bottles labeled correctly (name, batch #, production date and expiration date)?</t>
  </si>
  <si>
    <t>Please note: all questions refer only to clinical patient specimens, NOT to environmental or research specimens</t>
  </si>
  <si>
    <t xml:space="preserve">Who awarded the most recent accreditation? (Review accreditation certificate and write name of accrediting body in comments) </t>
  </si>
  <si>
    <t>Does the lab prepare any media or distilled water? (e.g., blood agar, Mueller Hinton agar, blood culture bottles)</t>
  </si>
  <si>
    <t xml:space="preserve">If automated instruments are used for ID, (e.g., Vitek, Phoenix, Microscan) is there user manual or SOP that describes how to troubleshoot instrument failures? </t>
  </si>
  <si>
    <t>Do records indicate that sterility is checked for each batch? (By incubating a portion of un-inoculated plates, ideally 5%)</t>
  </si>
  <si>
    <t>Minimum volume for adults (typically 10-15mL per bottle)</t>
  </si>
  <si>
    <t>Minimum volume for children (typically 5-10mL per bottle)</t>
  </si>
  <si>
    <t>Minimum volume for neonates (typically 0.5-1mL per bottle)</t>
  </si>
  <si>
    <t>BRAND/ MODEL:</t>
  </si>
  <si>
    <t>Are the containers holding open antibiotic disks/strips allowed to equilibrate to room temperature before opening to minimize condensation (typically 1 hour)</t>
  </si>
  <si>
    <t>Do records indicate that the saline solution is tested for sterility on a regular basis? (Preferably at least weekly)</t>
  </si>
  <si>
    <t>1: Lab policy primarily determines - 2: Only when requested by clinician - 3: Equal mix of both</t>
  </si>
  <si>
    <t>1: Lab policy primarily determines - 2: Only the antibiotics requested by physician - 3: Equal mix of both</t>
  </si>
  <si>
    <t>Transport to lab at room temperature within 2 hours of collection</t>
  </si>
  <si>
    <t>If transport will be delayed, store refrigerated for up to 24 hours</t>
  </si>
  <si>
    <t>Please note: all questions refer to equipment that is used for clinical patient specimens, NOT equipment that is used only for research specimens</t>
  </si>
  <si>
    <t>Please note: all questions refer only to clinical patient specimens, NOT to research  or environmental specimens</t>
  </si>
  <si>
    <t>Please note: all questions refer only to clinical patient specimens, NOT to research or environmental specimens</t>
  </si>
  <si>
    <t>If the LIS software automatically interprets zone sizes or MICs, are the breakpoints updated annually?</t>
  </si>
  <si>
    <t>INVENTORY &amp; STOCK OUTS</t>
  </si>
  <si>
    <t>In the last 6 months, have any stock outs disrupted the lab's ability to provide routine bacteriology services?</t>
  </si>
  <si>
    <t>WHO GLASS (Global Antimicrobial Resistance Surveillance System)</t>
  </si>
  <si>
    <t xml:space="preserve">Do records indicate that quality control is done each time carbapenemase testing is performed? </t>
  </si>
  <si>
    <t>10- IDENTIFICATION METHODS &amp; SOPs</t>
  </si>
  <si>
    <t>10- IDENTIFICATION METHODS &amp; STANDARD OPERATING PROCEDURES</t>
  </si>
  <si>
    <t>CONVENTIONAL ID METHODS - SOP SCORE SUMMARY</t>
  </si>
  <si>
    <t>Fully implemented*, up-to-date SOP</t>
  </si>
  <si>
    <t>SOP is readily available** to bench staff</t>
  </si>
  <si>
    <t>SOP defines QC organisms, frequency, and expected results</t>
  </si>
  <si>
    <t>SOP provides stepwise instructions for test performance</t>
  </si>
  <si>
    <t>SOP provides stepwise instructions for test interpretation</t>
  </si>
  <si>
    <t>Answer the questions below for each manual method/biochemical in use at the lab.</t>
  </si>
  <si>
    <t>Coagulase plasma</t>
  </si>
  <si>
    <t>Staph latex agglutination</t>
  </si>
  <si>
    <t>Staph chromagar</t>
  </si>
  <si>
    <t>DNase</t>
  </si>
  <si>
    <t>PYR</t>
  </si>
  <si>
    <t>Bile solubility (deoxycholate)</t>
  </si>
  <si>
    <t>Strep. pneumo latex agglutination</t>
  </si>
  <si>
    <t>Oxidase</t>
  </si>
  <si>
    <t>Indole</t>
  </si>
  <si>
    <t>Methyl Red</t>
  </si>
  <si>
    <t>Voges-Proskauer</t>
  </si>
  <si>
    <t>Citrate</t>
  </si>
  <si>
    <t>Urease</t>
  </si>
  <si>
    <t>Motility</t>
  </si>
  <si>
    <t>Lysine Iron Agar (LIA) or Lysine Decarboxylase (LDC)</t>
  </si>
  <si>
    <t>Shigella serology</t>
  </si>
  <si>
    <t>Salmonella serology</t>
  </si>
  <si>
    <t>Glucose Oxidative-Fermentative (OF) test</t>
  </si>
  <si>
    <t>Nitrate reduction</t>
  </si>
  <si>
    <t>Gelatin hydrolysis</t>
  </si>
  <si>
    <t>Chloramphenicol resistance (disk)</t>
  </si>
  <si>
    <t>Growth at 42°C</t>
  </si>
  <si>
    <t>Please note: all questions refer only to clinical patient isolates, NOT to research or environmental isolates</t>
  </si>
  <si>
    <t>Positive control is used</t>
  </si>
  <si>
    <t>Negative control is used</t>
  </si>
  <si>
    <t>Fully implemented*, up-to-date SOP is in place</t>
  </si>
  <si>
    <t>Indole reagents</t>
  </si>
  <si>
    <t>Triple Sugar Iron agar or Kligler's Iron Agar</t>
  </si>
  <si>
    <t>Lysine Iron Agar (LIA) or Lysine decarboxylase (LDC)</t>
  </si>
  <si>
    <t>Glucose or Dextrose Oxidative-Fermentative (OF) test</t>
  </si>
  <si>
    <t>Optochin (“P”) disk</t>
  </si>
  <si>
    <t>Staph Chromagar</t>
  </si>
  <si>
    <t>Optochin ("P") disk</t>
  </si>
  <si>
    <t>Strep pneumo latex agglutination</t>
  </si>
  <si>
    <t xml:space="preserve">Chloramphenicol resistance (disk) </t>
  </si>
  <si>
    <t>McFarland QC standards of known densities, including 0.5, not expired</t>
  </si>
  <si>
    <t>Ruler or caliper with millimeter markings</t>
  </si>
  <si>
    <t>Bunsen burners or micro-incinerators</t>
  </si>
  <si>
    <t>Calibrated 1uL or 10uL loops (for plating urine cultures)</t>
  </si>
  <si>
    <t>Optical densitometer/turbidimeter (for determining McFarland density)</t>
  </si>
  <si>
    <t>Microliter pipettes (e.g., Eppendorf)</t>
  </si>
  <si>
    <t>Centrifuge (not used for TB cultures)</t>
  </si>
  <si>
    <t>Microscope</t>
  </si>
  <si>
    <t>Thermometers</t>
  </si>
  <si>
    <t>Candle jars</t>
  </si>
  <si>
    <t>Refrigerator (2-8°C)</t>
  </si>
  <si>
    <t xml:space="preserve">Non-defrosting freezer, -20°C </t>
  </si>
  <si>
    <t xml:space="preserve">Non-defrosting freezer, -80°C </t>
  </si>
  <si>
    <t>Rechargeable desiccants (for storage of open antibiotic disks and strips)</t>
  </si>
  <si>
    <t>Hot air oven (for drying saturated desiccants)</t>
  </si>
  <si>
    <t>Biological Safety Cabinet Class IIA</t>
  </si>
  <si>
    <t>Autoclave for media preparation ("clean" autoclave)</t>
  </si>
  <si>
    <t>Autoclave for sterlizing waste ("dirty" autoclave)</t>
  </si>
  <si>
    <t>Non-defrosting freezer, -60°C</t>
  </si>
  <si>
    <t>pH meter</t>
  </si>
  <si>
    <t>Weighing balance</t>
  </si>
  <si>
    <t>Conductivity meter</t>
  </si>
  <si>
    <t>Distillator/reverse osmosis equipment</t>
  </si>
  <si>
    <t>Hot plate with magnetic stir bar (for mixing powdered media)</t>
  </si>
  <si>
    <t>Water bath</t>
  </si>
  <si>
    <t>Optical Densitometer (for determining McFarland density)</t>
  </si>
  <si>
    <t>Centrifuge</t>
  </si>
  <si>
    <t>CO2 incubator</t>
  </si>
  <si>
    <t>Ambient (non-CO2) incubator</t>
  </si>
  <si>
    <t>Hot air oven for recharging desiccants</t>
  </si>
  <si>
    <t>Hot air oven (for recharging desiccants)</t>
  </si>
  <si>
    <t>Room temperature</t>
  </si>
  <si>
    <t>Freezers, -20°C</t>
  </si>
  <si>
    <t>Freezers, -60°C</t>
  </si>
  <si>
    <t>Freezers, -80°C</t>
  </si>
  <si>
    <t>Refrigerators</t>
  </si>
  <si>
    <t>Incubators, ambient atmosphere</t>
  </si>
  <si>
    <t>Water baths</t>
  </si>
  <si>
    <t>INSTRUMENT AVAILABILITY AND MAINTENANCE</t>
  </si>
  <si>
    <t>Blood culture instrument</t>
  </si>
  <si>
    <t>Does the lab have a MALDI instrument for organism ID? (e.g., Bruker, Biomerieux)</t>
  </si>
  <si>
    <t xml:space="preserve">MALDI instrument for organism ID </t>
  </si>
  <si>
    <t xml:space="preserve">PCR instrument for antibiotic resistance gene detection </t>
  </si>
  <si>
    <t>Automated Instruments</t>
  </si>
  <si>
    <t>Does the lab use PCR to detect antibiotic resistance genes?</t>
  </si>
  <si>
    <t xml:space="preserve">mecA </t>
  </si>
  <si>
    <t>vanA/vanB</t>
  </si>
  <si>
    <t>mcr-1</t>
  </si>
  <si>
    <t>ESBLs</t>
  </si>
  <si>
    <t>Carbapenemases</t>
  </si>
  <si>
    <t>TEST MENU AND ANNUAL CULTURE WORKLOAD</t>
  </si>
  <si>
    <t>ANNUAL AST WORKLOAD</t>
  </si>
  <si>
    <t>Automated AST instrument</t>
  </si>
  <si>
    <t>Does the lab have an automated instrument for reading disk diffusion? (e.g. SIRSCAN, BIOMIC V3, ADAGIO, etc.)</t>
  </si>
  <si>
    <t>Instrument for reading disk diffusion (e.g. SIRSCAN, BIOMIC V3, ADAGIO, etc.)</t>
  </si>
  <si>
    <t>Instrument for bacterial ID and AST (e.g. Vitek, Phoenix, Microscan)</t>
  </si>
  <si>
    <t>NUMBER OF FLAGS</t>
  </si>
  <si>
    <t>System Flags</t>
  </si>
  <si>
    <t>Do records demonstrate that biological indicators (e.g., Attest or other spore system) are used to confirm the autoclave is achieving sterilization? (Review logs to confirm). 1- Weekly, 2- Monthly, 3- Less than monthly, 4- No records</t>
  </si>
  <si>
    <t>A purity plate is a light subculture of the inoculum that is made to ensure the inoculum was not mixed or contaminated; usually streaked like a urine to ensure visualization of individual colonies and checked for purity when reading results. BAP is typically used.</t>
  </si>
  <si>
    <t>Is a sterile swab used to inoculate the plate?</t>
  </si>
  <si>
    <t xml:space="preserve">Is the inoculum spread in a way that will create an even lawn? </t>
  </si>
  <si>
    <t>Are the lawns of growth confluent (no gaps or individual colonies showing)?</t>
  </si>
  <si>
    <t>Are disks spaced properly? (At least 24mm from center to center, no overlapping zones, not too close to edge, uniformly circular zones)</t>
  </si>
  <si>
    <t>Is there a maximum of 6 antibiotic disks per 100mm plate?</t>
  </si>
  <si>
    <t>Is there a maximum of 12 antibiotic disks per 150mm plate?</t>
  </si>
  <si>
    <t>Is there evidence that the supervisor recieved appropriate training on how to recognize unusual AST findings?</t>
  </si>
  <si>
    <t>Is there evidence that microbiology staff have received adequate training to recognize unusual or unexpected AST results that might require investigation? (e.g. Klebsiella spp. S to ampicillin; Staph spp. I/R to vancomycin)</t>
  </si>
  <si>
    <t>Red Flags represent practices that may put patients or staff at risk and should be corrected immediately</t>
  </si>
  <si>
    <t>City/Province/District</t>
  </si>
  <si>
    <t>Date of Assessment</t>
  </si>
  <si>
    <t>0.37</t>
  </si>
  <si>
    <t>0.72</t>
  </si>
  <si>
    <t>0.73</t>
  </si>
  <si>
    <t>0.74</t>
  </si>
  <si>
    <t>0.75</t>
  </si>
  <si>
    <t>0.76</t>
  </si>
  <si>
    <t>0.77</t>
  </si>
  <si>
    <t>0.78</t>
  </si>
  <si>
    <t>0.79</t>
  </si>
  <si>
    <t>0.80</t>
  </si>
  <si>
    <t>0.81</t>
  </si>
  <si>
    <t>0.82</t>
  </si>
  <si>
    <t>0.83</t>
  </si>
  <si>
    <t>0.84</t>
  </si>
  <si>
    <t>0.85</t>
  </si>
  <si>
    <t>1.86</t>
  </si>
  <si>
    <t>1.122</t>
  </si>
  <si>
    <t>1.123</t>
  </si>
  <si>
    <t>1.124</t>
  </si>
  <si>
    <t>1.125</t>
  </si>
  <si>
    <t>1.126</t>
  </si>
  <si>
    <t>1.127</t>
  </si>
  <si>
    <t>1.128</t>
  </si>
  <si>
    <t>1.129</t>
  </si>
  <si>
    <t>1.130</t>
  </si>
  <si>
    <t>1.131</t>
  </si>
  <si>
    <t>1.132</t>
  </si>
  <si>
    <t>1.133</t>
  </si>
  <si>
    <t>1.134</t>
  </si>
  <si>
    <t>1.135</t>
  </si>
  <si>
    <t>2.40</t>
  </si>
  <si>
    <t>2.41</t>
  </si>
  <si>
    <t>2.42</t>
  </si>
  <si>
    <t>2.43</t>
  </si>
  <si>
    <t>2.44</t>
  </si>
  <si>
    <t>2.45</t>
  </si>
  <si>
    <t>2.46</t>
  </si>
  <si>
    <t>3.53</t>
  </si>
  <si>
    <t>1: Daily/Continuously - 2: Other frequency, specify in comments - 3: Never - NA: no electronic database</t>
  </si>
  <si>
    <t>Does the lab or facility have a policy and/or SOP on data backup and restoration?</t>
  </si>
  <si>
    <t>Does the lab or facility have a policy and/or SOP on data security and confidentiality?</t>
  </si>
  <si>
    <t>3.60</t>
  </si>
  <si>
    <t>3.61</t>
  </si>
  <si>
    <t>3.62</t>
  </si>
  <si>
    <t>3.63</t>
  </si>
  <si>
    <t>3.64</t>
  </si>
  <si>
    <t>3.65</t>
  </si>
  <si>
    <t>3.66</t>
  </si>
  <si>
    <t>3.67</t>
  </si>
  <si>
    <t>The LIS export file does not distinguish antibiotic results by AST method</t>
  </si>
  <si>
    <t xml:space="preserve">The LIS export file merged/combined different data fields into a single column </t>
  </si>
  <si>
    <t>The LIS export file was missing some of the required data fields</t>
  </si>
  <si>
    <t>The LIS export file does not contain zone sizes or MIC values</t>
  </si>
  <si>
    <t>3.68</t>
  </si>
  <si>
    <t>3.69</t>
  </si>
  <si>
    <t>3.70</t>
  </si>
  <si>
    <t>3.71</t>
  </si>
  <si>
    <t>3.72</t>
  </si>
  <si>
    <t>3.73</t>
  </si>
  <si>
    <t xml:space="preserve">The instrument export file merged/combined different data fields into a single column </t>
  </si>
  <si>
    <t>The instrument export file was missing some of the required data fields (like patient demographics)</t>
  </si>
  <si>
    <t>The instrument export file was missing MIC values</t>
  </si>
  <si>
    <t>The instrument export file was missing SIR values</t>
  </si>
  <si>
    <t>TF10</t>
  </si>
  <si>
    <t>EXTERNAL QUALITY ASSESSMENT (EQA)</t>
  </si>
  <si>
    <t xml:space="preserve">If the lab or facility produces it's own distilled or deionized water, are QC records present for the following? </t>
  </si>
  <si>
    <t xml:space="preserve">If the lab purchases distilled or deionized water, does it come with a Certificate of Analysis demonstrating proper pH, sterility and conductimetry? </t>
  </si>
  <si>
    <t xml:space="preserve">such as Vitek, API, Liofilchem, etc. </t>
  </si>
  <si>
    <t>Indicate whether the following aspects of QC for Salmonella and/or Shigella serology reagents are performed.</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</si>
  <si>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</si>
  <si>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</si>
  <si>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</si>
  <si>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</si>
  <si>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</si>
  <si>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</si>
  <si>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</si>
  <si>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</si>
  <si>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</si>
  <si>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</si>
  <si>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</si>
  <si>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</si>
  <si>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</si>
  <si>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</si>
  <si>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</si>
  <si>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</si>
  <si>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</si>
  <si>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</si>
  <si>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</si>
  <si>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</si>
  <si>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</si>
  <si>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</si>
  <si>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</si>
  <si>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</si>
  <si>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Check NA if the lab does not use any commercial test kits for organism ID</t>
  </si>
  <si>
    <t>5- MEDIA PREPARATION AND QUALITY CONTROL</t>
  </si>
  <si>
    <t>Not including new lot QC, how often is antibiotic disk QC performed? (Confirm by reviewing QC records; go back several months)</t>
  </si>
  <si>
    <t>Not including new lot QC, how often is antibiotic strip QC performed? (Confirm by reviewing QC records; go back several months)</t>
  </si>
  <si>
    <t>Not including new lot QC, how often is antibiotic card/tray QC performed? (Confirm by reviewing QC records; go back several months)</t>
  </si>
  <si>
    <t>Defined QC organisms, QC frequency, and expected QC results</t>
  </si>
  <si>
    <t>Stepwise instructions for preparing the inoculum in the correct liquid medium and at the correct density</t>
  </si>
  <si>
    <t>Stepwise instructions on how to inoculate and incubate the device</t>
  </si>
  <si>
    <t>Stepwise instructions on how to read the results, including use of additional reagents if necessary</t>
  </si>
  <si>
    <t>Clear guidance on interpreting results and recognizing unacceptable results</t>
  </si>
  <si>
    <t>10.169</t>
  </si>
  <si>
    <t>10.170</t>
  </si>
  <si>
    <t>10.171</t>
  </si>
  <si>
    <t>10.172</t>
  </si>
  <si>
    <t>If the lab uses automated methods for organism ID (e.g., Vitek, Microscan, Phoenix), do the SOPs contain the following information? (User manuals provided by the manufacturer are not considered SOPs)</t>
  </si>
  <si>
    <t>10.173</t>
  </si>
  <si>
    <t>10.174</t>
  </si>
  <si>
    <t>10.175</t>
  </si>
  <si>
    <t>10.176</t>
  </si>
  <si>
    <t xml:space="preserve"> If the lab uses rapid biochemical kits for organism ID (e.g., API, Liofilchem, RapID), does the SOP for each kit contain the following information? (If kits are not used, select "NA", if kits are used but there is no SOP, select "No")</t>
  </si>
  <si>
    <t>IDENTIFICATION FLOWCHARTS</t>
  </si>
  <si>
    <t xml:space="preserve">When the primary plate has mixed colony types, is it standard practice to subculture each colony of interest to a fresh plate to ensure purity prior to pursuing identification? </t>
  </si>
  <si>
    <t>Is it standard practice to perform a gram stain on each isolate of interest prior to performing any other testing?</t>
  </si>
  <si>
    <t>For gram positive cocci, is it standard practice to perform a catalase test first, before proceeding with any other identification tests (including automated ID)?</t>
  </si>
  <si>
    <t>For gram negative bacilli, is it standard practice to perform an oxidase test first, before proceeding with any other identification tests (including automated ID)?</t>
  </si>
  <si>
    <t>For gram negative bacilli, is it standard practice to perform an indole test second, before proceeding with other identification tests (including automated ID)?</t>
  </si>
  <si>
    <t>For catalase positive gram positive cocci, is it standard practice to perform a coagulase test next, before proceeding with other identification tests (including automated ID)?</t>
  </si>
  <si>
    <t>For catalase negative gram positive cocci, is it standard practice to evaluate the type of hemolysis (alpha, beta, gamma), before proceeding with other identification tests (including automated ID)?</t>
  </si>
  <si>
    <t>10.177</t>
  </si>
  <si>
    <t>10.178</t>
  </si>
  <si>
    <t>10.179</t>
  </si>
  <si>
    <t>10.180</t>
  </si>
  <si>
    <t>10.181</t>
  </si>
  <si>
    <t>10.182</t>
  </si>
  <si>
    <t>10.183</t>
  </si>
  <si>
    <t>10.184</t>
  </si>
  <si>
    <t>For oxidase-negative gram negative bacilli that do not ferment lactose (clear on MacConkey), are sufficient tests available to achieve a definitive identification?</t>
  </si>
  <si>
    <t>11.66</t>
  </si>
  <si>
    <t xml:space="preserve">Review a patient AST report for a positive CSF culture. Were any of the following drug classes tested or reported? </t>
  </si>
  <si>
    <t>(The following are not the drugs of choice and may not be effective for treating CSF infections, regardless of the AST result)</t>
  </si>
  <si>
    <t>Does the lab perform any of the following phenotypic tests for carbapenemase production?</t>
  </si>
  <si>
    <t>Does the lab perform any genotypic tests for carbapenemase production? (E.g. PCR, GeneXpert, etc.)</t>
  </si>
  <si>
    <t xml:space="preserve">Does the lab perform any phenotypic tests for ESBL production? Including disks, gradient strips, or a screening well in an automated system. </t>
  </si>
  <si>
    <t>Does the lab perform any genotypic tests for ESBL production? (E.g. PCR)</t>
  </si>
  <si>
    <t>12.45</t>
  </si>
  <si>
    <t>12.106</t>
  </si>
  <si>
    <t>12.107</t>
  </si>
  <si>
    <t xml:space="preserve">Have technologists been adequately trained to recognize a poorly collected urine specimen (predominance of fecal or skin flora) based on the relative quantities, types, and mix of organisms present? </t>
  </si>
  <si>
    <t>1: All recommended strains are used; 2: Some of the recommended strains are used; 3: None of the recommended reference strains are used; NA</t>
  </si>
  <si>
    <t>1-Brain Heart Infusion, 2-Supplemented peptone, 3-Soybean-casein digest (tryptic soy), 4-Thioglycolate, 5-Thiol, 6-Colombia, 7-Brucella, 8-Other, NA</t>
  </si>
  <si>
    <t>Is there evidence the supervisor or Quality Officer has received adequate training on how to perform root-cause analysis for EQA failures?</t>
  </si>
  <si>
    <t>Is there evidence the supervisor or Quality Officer has received adequate training on how to perform root-cause analysis of QC failures?</t>
  </si>
  <si>
    <t>1: One time per year; 2: Two times per year; 3: Three times per year or more; 4: Zero (if zero, please answer the next question, then skip to next section)</t>
  </si>
  <si>
    <t>Updated August 2019 - Excel adaptation by IQLS August 2019</t>
  </si>
  <si>
    <t>RF8</t>
  </si>
  <si>
    <t>RF100</t>
  </si>
  <si>
    <t>RF101</t>
  </si>
  <si>
    <t>EXPERT RULES FOR CEREBROSPINAL FLUID</t>
  </si>
  <si>
    <t>Head of Micro Lab</t>
  </si>
  <si>
    <t>Head Technician</t>
  </si>
  <si>
    <t>Lab Sicentist</t>
  </si>
  <si>
    <t>Head Culture Room</t>
  </si>
  <si>
    <t>Is the acceptable temperature range (the minimum and maximum) clearly defined on the record sheet?</t>
  </si>
  <si>
    <t>SF22</t>
  </si>
  <si>
    <t>SF23</t>
  </si>
  <si>
    <t>Quantity of Epithelial Cells per low power field</t>
  </si>
  <si>
    <t>Quantity of PMNs (WBCs) per low power field</t>
  </si>
  <si>
    <t>Quantity of bacterial cells per high power field</t>
  </si>
  <si>
    <t xml:space="preserve">If the LIS software automatically interprets zone sizes or MICs, are the breakpoints up to date today? </t>
  </si>
  <si>
    <t>Type of bacterial cells (gram positive cocci, gram negative bacilli, etc.)</t>
  </si>
  <si>
    <t>Is the laboratory currently a member of any AMR Surveillance Systems?</t>
  </si>
  <si>
    <t>How often does a Supervisor or Quality Officer review Media QC, ID QC, and AST QC results?</t>
  </si>
  <si>
    <t>1: Weekly  – 2: Monthly  – 3: Sporadically – 4: Never</t>
  </si>
  <si>
    <t>If scores are not made available to review, select "None"</t>
  </si>
  <si>
    <t xml:space="preserve">Are new batches of media checked for sterility by incubating a portion of un-inoculated plates? </t>
  </si>
  <si>
    <t xml:space="preserve">If desiccants do not have a color indicator, are colorless desiccants replaced least monthly? </t>
  </si>
  <si>
    <t>When preparing an inoculum using the colony suspension method, are colonies less than 18 hours old ever used?</t>
  </si>
  <si>
    <t>When preparing an inoculum using the colony suspension method, are colonies more than 24 hours old ever used?</t>
  </si>
  <si>
    <t>Question</t>
  </si>
  <si>
    <t>LIS</t>
  </si>
  <si>
    <t>Facility</t>
  </si>
  <si>
    <t>Data Mgmt</t>
  </si>
  <si>
    <t>QA</t>
  </si>
  <si>
    <t>Specimen</t>
  </si>
  <si>
    <t>Processing</t>
  </si>
  <si>
    <t>Identification</t>
  </si>
  <si>
    <t>Basic AST</t>
  </si>
  <si>
    <t>AST Expert</t>
  </si>
  <si>
    <t>AST Policy</t>
  </si>
  <si>
    <t>Safety</t>
  </si>
  <si>
    <t>Module</t>
  </si>
  <si>
    <t>Figure for use with AST QC Module, questions 7.7 - 7.11</t>
  </si>
  <si>
    <t>Figure for use with Facility Module, question 1.13</t>
  </si>
  <si>
    <t>McFarland QC Standards in front of a Wickerham card</t>
  </si>
  <si>
    <t>ID and/or AST of isolates referred from other laboratories</t>
  </si>
  <si>
    <t>STOOL CULTURE for Salmonella and Shigella</t>
  </si>
  <si>
    <t>Catalase (H2O2)</t>
  </si>
  <si>
    <t>CO2 incubators</t>
  </si>
  <si>
    <t>Testing Capacity</t>
  </si>
  <si>
    <t>Antibiotic Resistance</t>
  </si>
  <si>
    <t xml:space="preserve">of </t>
  </si>
  <si>
    <t>Laboratory Assessment</t>
  </si>
  <si>
    <t>3-Spanish</t>
  </si>
  <si>
    <t>In the last 6 months, has prolonged instrument failure disrupted the ability to provide routine bacteriology services?</t>
  </si>
  <si>
    <t>Salmonella and/or Shigella</t>
  </si>
  <si>
    <t>Enterohemorrhagic/Enterotoxic E.coli (e.g., O157:H7)</t>
  </si>
  <si>
    <t>Identification and/or AST of isolates referred from other laboratories</t>
  </si>
  <si>
    <t>In the #/year column, please enter the approximate number of organisms tested using each method</t>
  </si>
  <si>
    <t>1: &gt;90%; 2: 70%-89%, 3: 50-69%, 4: &lt;50%, NA</t>
  </si>
  <si>
    <t>Mise à jour en août 2019 - Adaptation Excel par IQLS en août 2019</t>
  </si>
  <si>
    <t>Nom du laboratoire</t>
  </si>
  <si>
    <t>Adresse du laboratoire</t>
  </si>
  <si>
    <t>Ville / Province / District</t>
  </si>
  <si>
    <t>Pays</t>
  </si>
  <si>
    <t>Date d'évaluation</t>
  </si>
  <si>
    <t>Cultures d'urine</t>
  </si>
  <si>
    <t>Cultures de liquide céphalo-rachidien</t>
  </si>
  <si>
    <t>Cultures anaérobies</t>
  </si>
  <si>
    <t>Cultures fongiques (levure)</t>
  </si>
  <si>
    <t>Cultures fongiques (moisissures)</t>
  </si>
  <si>
    <t>RECRUTEMENT</t>
  </si>
  <si>
    <t>Diplôme d'études secondaires</t>
  </si>
  <si>
    <t>Autre (préciser dans les commentaires)</t>
  </si>
  <si>
    <t>Drapeaux rouges</t>
  </si>
  <si>
    <t>Opportunités de formation</t>
  </si>
  <si>
    <t>GESTION DE DONNÉES</t>
  </si>
  <si>
    <t>ASSURANCE QUALITÉ</t>
  </si>
  <si>
    <t>PRELEVEMENT, TRANSPORT ET GESTION DES ECHANTILLONS</t>
  </si>
  <si>
    <t>SÉCURITÉ</t>
  </si>
  <si>
    <t>THERMOMÈTRES</t>
  </si>
  <si>
    <t>SURVEILLANCE DE LA TEMPÉRATURE ET DE L'ATMOSPHÈRE</t>
  </si>
  <si>
    <t>Température enregistrée</t>
  </si>
  <si>
    <t>2- SYSTÈME D'INFORMATION DE LABORATOIRE</t>
  </si>
  <si>
    <t>CHAMPS DE DONNÉES DÉMOGRAPHIQUES</t>
  </si>
  <si>
    <t>RAPPORTS ET CAPACITÉS DE TRANSFERT DE DONNÉES</t>
  </si>
  <si>
    <t>3- GESTION DES DONNÉES</t>
  </si>
  <si>
    <t>IDENTIFICATION DU PATIENT ET DE L’ÉCHANTILLON</t>
  </si>
  <si>
    <t>FORMULAIRE DE DEMANDE D'ÉCHANTILLON</t>
  </si>
  <si>
    <t>OBSERVATIONS DE LA CULTURE</t>
  </si>
  <si>
    <t>SAUVEGARDE DES DONNÉES ET SÉCURITÉ</t>
  </si>
  <si>
    <t>4- ASSURANCE QUALITE</t>
  </si>
  <si>
    <t>PREPARATION D'EAU DISTILLE / DEIONISEE</t>
  </si>
  <si>
    <t>6- CONTROLE QUALITE - IDENTIFICATION</t>
  </si>
  <si>
    <t>CQ DES MÉTHODES BIOCHIMIQUES INDIVIDUELLES</t>
  </si>
  <si>
    <t>Le CQ est réalisé à l'aide de souches ATCC ou dérivées d'ATCC</t>
  </si>
  <si>
    <t>8- PRÉLÈVEMENT, TRANSPORT ET GESTION DES ÉCHANTILLONS</t>
  </si>
  <si>
    <t>GESTION DES ÉCHANTILLONS</t>
  </si>
  <si>
    <t>REJET D'ÉCHANTILLON</t>
  </si>
  <si>
    <t>PRÉLÈVEMENT ET TRANSPORT D'ÉCHANTILLONS DE SANG</t>
  </si>
  <si>
    <t>PRELEVEMENT ET TRANSPORT D'ECHANTILLONS D'URINE</t>
  </si>
  <si>
    <t>9- TRAITEMENT</t>
  </si>
  <si>
    <t>STAPHYLOCOCCUS AUREUS, AUTRES METHODES D'IDENTIFICATION</t>
  </si>
  <si>
    <t>STREPTOCOCCUS PNEUMONIAE, METHODES D'IDENTIFICATION CONVENTIONNELLES</t>
  </si>
  <si>
    <t>ENTEROBACTERIACEAE, METHODES D'IDENTIFICATION CONVENTIONNELLES</t>
  </si>
  <si>
    <t>Sérologie SHIGELLA / SALMONELLA</t>
  </si>
  <si>
    <t>ACINETOBACTER SPP, METHODES D'IDENTIFICATION CONVENTIONNELLES</t>
  </si>
  <si>
    <t>MÉTHODES D'IDENTIFICATION AUTOMATISÉE</t>
  </si>
  <si>
    <t>INOCULATION / INCUBATION</t>
  </si>
  <si>
    <t>INTERPRÉTATION DES RÉSULTATS</t>
  </si>
  <si>
    <t>TEST DE COLISTINE</t>
  </si>
  <si>
    <t>ANTIBIOGRAMMES CUMULATIFS</t>
  </si>
  <si>
    <t>ÉQUIPEMENT DE BIOSÉCURITÉ</t>
  </si>
  <si>
    <t>COMPORTEMENTS DE BIOSÉCURITÉ</t>
  </si>
  <si>
    <t>ÉQUIPEMENT DE PROTECTION INDIVIDUELLE</t>
  </si>
  <si>
    <t>Plasma coagulase</t>
  </si>
  <si>
    <t>Solubilité dans la bile (désoxycholate)</t>
  </si>
  <si>
    <t>Oxydase</t>
  </si>
  <si>
    <t>Réactifs indole</t>
  </si>
  <si>
    <t>Rouge de méthyle</t>
  </si>
  <si>
    <t>Gélose à triple sucre de fer ou gélose de Kligler</t>
  </si>
  <si>
    <t>L'uréase</t>
  </si>
  <si>
    <t>Motilité</t>
  </si>
  <si>
    <t>Gélose à la lysine et fer (LIA) ou lysine décarboxylase (LDC)</t>
  </si>
  <si>
    <t>Test de glucose ou de dextrose oxydant-fermentatif (OF)</t>
  </si>
  <si>
    <t>Réduction des nitrates</t>
  </si>
  <si>
    <t>Hydrolyse de la gélatine</t>
  </si>
  <si>
    <t>Résistance au chloramphénicol (disque)</t>
  </si>
  <si>
    <t>Croissance à 42 ° C</t>
  </si>
  <si>
    <t>Sérologie Shigella</t>
  </si>
  <si>
    <t>Sérologie de salmonelle</t>
  </si>
  <si>
    <t>Règle ou pied à coulisse avec repères millimétriques</t>
  </si>
  <si>
    <t>Becs Bunsen ou micro-incinérateurs</t>
  </si>
  <si>
    <t>Densitomètre optique / turbidimètre (pour déterminer la densité de McFarland)</t>
  </si>
  <si>
    <t>Thermomètres</t>
  </si>
  <si>
    <t>Incubateurs à CO2</t>
  </si>
  <si>
    <t>Réfrigérateur (2-8 ° C)</t>
  </si>
  <si>
    <t>Congélateur sans dégivrage, -20 ° C</t>
  </si>
  <si>
    <t>Congélateur sans dégivrage, -60 ° C</t>
  </si>
  <si>
    <t>Congélateur sans dégivrage, -80 ° C</t>
  </si>
  <si>
    <t>Dessiccants rechargeables (pour le stockage de disques et de bandelettes d'antibiotiques ouverts)</t>
  </si>
  <si>
    <t>Four à air chaud (pour sécher les dessiccants saturés)</t>
  </si>
  <si>
    <t>Autoclave pour stériliser les déchets (autoclave "sale")</t>
  </si>
  <si>
    <t>pH mètre</t>
  </si>
  <si>
    <t>Balance de pesée</t>
  </si>
  <si>
    <t>Distillateur / équipement d'osmose inverse</t>
  </si>
  <si>
    <t>Instruments automatisés</t>
  </si>
  <si>
    <t>Nombre total de drapeaux rouges</t>
  </si>
  <si>
    <t>0- INFORMATIONS GÉNÉRALES</t>
  </si>
  <si>
    <t>Nom du laboratoire / de l'hôpital</t>
  </si>
  <si>
    <t>Adresse</t>
  </si>
  <si>
    <t>Ville</t>
  </si>
  <si>
    <t>Titre / Position</t>
  </si>
  <si>
    <t>Technicien en chef</t>
  </si>
  <si>
    <t>1. Public / Gouvernement</t>
  </si>
  <si>
    <t>2. Privé</t>
  </si>
  <si>
    <t>4. Autre</t>
  </si>
  <si>
    <t>2. Hôpital: militaire</t>
  </si>
  <si>
    <t>3. Hôpital: (ni universitaire ni militaire)</t>
  </si>
  <si>
    <t>4. Clinique (principalement ambulatoire)</t>
  </si>
  <si>
    <t>7. Autre, par exemple, laboratoire de recherche</t>
  </si>
  <si>
    <t>Niveau de service de l'hôpital / établissement de santé</t>
  </si>
  <si>
    <t>1. primaire</t>
  </si>
  <si>
    <t>2. secondaire</t>
  </si>
  <si>
    <t>3. Tertiaire</t>
  </si>
  <si>
    <t>Nombre de lits de l'hôpital / établissement de santé</t>
  </si>
  <si>
    <t>Le laboratoire effectue-t-il les types de culture suivants?</t>
  </si>
  <si>
    <t>1:&gt; 90%; 2: 70% à 89%, 3: 50 à 69%, 4: &lt;50%, NA</t>
  </si>
  <si>
    <t>Le laboratoire a-t-il déjà été inscrit à un autre programme de mentorat pour la gestion de la qualité de laboratoire (national, régional, international)? Quand?</t>
  </si>
  <si>
    <t>ACCRÉDITATION et CERTIFICATION</t>
  </si>
  <si>
    <t>Identification d'organisme</t>
  </si>
  <si>
    <t>Test de sensibilité aux antibiotiques</t>
  </si>
  <si>
    <t>Qui a attribué la plus récente accréditation? (Examiner le certificat d’accréditation et écrire le nom de l’organisme d’accréditation dans les commentaires)</t>
  </si>
  <si>
    <t>1: membre à part entière de l'ILAC; 2: membre associé d'ILAC; 3: membre affilié de l'ILAC; 4: acteur ILAC; 5: Organisme de coopération régionale de l'ILAC; 6: Autre / Je ne sais pas; 7: Conseil national d'accréditation; N / A</t>
  </si>
  <si>
    <t>(ILAC = Coopération internationale pour l’accréditation de laboratoires)</t>
  </si>
  <si>
    <t>Prénom</t>
  </si>
  <si>
    <t>Nom de famille</t>
  </si>
  <si>
    <t>Adresse électronique</t>
  </si>
  <si>
    <t>commentaires</t>
  </si>
  <si>
    <t>Cette section sera automatiquement remplie, ne saisissez pas de données</t>
  </si>
  <si>
    <t>Année</t>
  </si>
  <si>
    <t>Salmonella et / ou Shigella</t>
  </si>
  <si>
    <t>Cultures respiratoires (pas TB / AFB)</t>
  </si>
  <si>
    <t>Autres cultures d'importance locale (possibilité de personnaliser via des commentaires)</t>
  </si>
  <si>
    <t>Autre, veuillez spécifier dans les commentaires.</t>
  </si>
  <si>
    <t>Producteurs de BLSE</t>
  </si>
  <si>
    <t>SARM</t>
  </si>
  <si>
    <t>ERV</t>
  </si>
  <si>
    <t>Résistance à la colistine</t>
  </si>
  <si>
    <t>Le laboratoire utilise-t-il la PCR pour détecter les gènes de résistance aux antibiotiques?</t>
  </si>
  <si>
    <t>Carbapénémases</t>
  </si>
  <si>
    <t>mecA</t>
  </si>
  <si>
    <t>vanA / vanB</t>
  </si>
  <si>
    <t>Parmi les responsables de laboratoire et le personnel technique en bactériologie, indiquez le nombre correspondant à chaque catégorie de niveau de formation.</t>
  </si>
  <si>
    <t>Nombre d'employés ayant une autre formation</t>
  </si>
  <si>
    <t>Le laboratoire a-t-il déjà été inscrit au programme SLIPTA?</t>
  </si>
  <si>
    <t>Si oui, quand la certification la plus récente a-t-elle été attribuée?</t>
  </si>
  <si>
    <t>1: Au cours des 2 dernières années - 2: Il y a plus de 2 ans - 3: NA</t>
  </si>
  <si>
    <t>Si oui, quel est le niveau du dernier audit de SLIPTA? Vérifiez le certificat.</t>
  </si>
  <si>
    <t>(0: 0 étoiles; 1: 1 étoiles; 2: 2 étoiles, 3: 3 étoiles; 4: 4 étoiles; 5: 5 étoiles, NA)</t>
  </si>
  <si>
    <t>Le laboratoire a-t-il déjà été inscrit au programme LQSI de l'OMS? Quelle année?</t>
  </si>
  <si>
    <t>Si oui, quel était le dernier score global pour les 4 phases? Quelle année?</t>
  </si>
  <si>
    <t>Année d'obtention</t>
  </si>
  <si>
    <t>BRAND:</t>
  </si>
  <si>
    <t>Indicate whether the lab has the following FUNCTIONAL pieces of equipment. In column D (#), indicate how many pieces of FUNCTIONAL equipment are present. If the lab only has non-functional equipment, select "No" and write "non-functional" in the comments. Also indicate in the comments if the quantity of equipment is sufficient for the laboratory's volume of testing.</t>
  </si>
  <si>
    <t>Incubators, CO2</t>
  </si>
  <si>
    <t>Are CO2 incubators checked for adequate CO2 levels and documented daily (or each day of use if not used daily)?</t>
  </si>
  <si>
    <t>Does the lab have a PCR instrument used for detecting antibiotic resistance genes? (e.g., GeneXpert)</t>
  </si>
  <si>
    <t>In the last 6 months, has the lab experienced stock outs of antibiotic disks or strips?</t>
  </si>
  <si>
    <t>In the last 6 months, has the lab experienced stock outs of ID or AST cards/trays for the automated instruments?</t>
  </si>
  <si>
    <t xml:space="preserve">In the last 6 months, has the lab experienced stock outs of control materials or reference strains? </t>
  </si>
  <si>
    <t xml:space="preserve">In the last 6 months, has the lab experienced stock outs of other key materials? </t>
  </si>
  <si>
    <t>Sans humidité excessive?</t>
  </si>
  <si>
    <t>Le laboratoire dispose-t-il d'un système de chauffage / climatisation fonctionnel?</t>
  </si>
  <si>
    <t>La température dans le laboratoire est-elle maintenue entre 20 ° et 25 ° C?</t>
  </si>
  <si>
    <t>Au cours des 6 derniers mois, une panne de courant prolongée a-t-elle perturbé la capacité de fournir des services bactériologiques de routine?</t>
  </si>
  <si>
    <t>Existe-t-il un plan d'urgence permettant de poursuivre les tests en cas de panne d'électricité prolongée (par exemple, une panne de courant de plusieurs jours)?</t>
  </si>
  <si>
    <t>Norme: ISO 15189: 5.2.5 &amp; 5.2.10 L'espace de laboratoire doit être suffisant pour garantir la qualité du travail, la sécurité du personnel et la capacité du personnel à effectuer les procédures de contrôle de la qualité et la documentation. Le laboratoire doit être propre et bien organisé, exempt de tout encombrement, bien ventilé, bien éclairé et dans des plages de température acceptables. Une alimentation de secours devrait être disponible pour les instruments sensibles, les dispositifs de stockage à température contrôlée et autres équipements essentiels afin de prévenir les dommages et les perturbations dus aux fluctuations imprévues de l'alimentation. Les instruments sensibles doivent être équipés de commandes de surtension. De l'eau distillée et désionisée devrait être disponible, si nécessaire.</t>
  </si>
  <si>
    <t>Décrivez le service Internet dans le laboratoire</t>
  </si>
  <si>
    <t>1: continu (les interruptions de service sont rares) - 2: sporadique (les interruptions de service sont courantes) - 3: pas d'internet disponible</t>
  </si>
  <si>
    <t>Si non, répondez NA jusqu'à la section suivante</t>
  </si>
  <si>
    <t>Densitomètre optique (pour déterminer la densité de McFarland)</t>
  </si>
  <si>
    <t>Température ambiante</t>
  </si>
  <si>
    <t>Les températures sont-elles enregistrées chaque jour d'utilisation?</t>
  </si>
  <si>
    <t>La plage de température acceptable (minimum et maximum) est-elle clairement définie sur la fiche d'enregistrement?</t>
  </si>
  <si>
    <t>Congélateurs, -20 ° C</t>
  </si>
  <si>
    <t>Congélateurs, -60 ° C</t>
  </si>
  <si>
    <t>Congélateurs, -80 ° C</t>
  </si>
  <si>
    <t>Les réfrigérateurs</t>
  </si>
  <si>
    <t>Incubateurs, atmosphère ambiante</t>
  </si>
  <si>
    <t>Incubateurs, CO2</t>
  </si>
  <si>
    <t>Bains-marie</t>
  </si>
  <si>
    <t>1: Oui - 2: Aucune action n'est documentée - 3: Les températures ne sont pas enregistrées</t>
  </si>
  <si>
    <t>Température</t>
  </si>
  <si>
    <t>Pression</t>
  </si>
  <si>
    <t>Le même autoclave est-il utilisé à la fois pour la préparation du milieu et la stérilisation des déchets?</t>
  </si>
  <si>
    <t>DISPONIBILITÉ ET ENTRETIEN DE L'INSTRUMENT</t>
  </si>
  <si>
    <t>L'instrument est-il fonctionnel aujourd'hui?</t>
  </si>
  <si>
    <t>Le logiciel est-il à jour?</t>
  </si>
  <si>
    <t>Le laboratoire dispose-t-il d'un instrument MALDI pour l'identification des organismes? (par exemple, Bruker, Biomerieux)</t>
  </si>
  <si>
    <t>Le laboratoire dispose-t-il d'un instrument de PCR utilisé pour détecter les gènes de résistance aux antibiotiques? (par exemple, GeneXpert)</t>
  </si>
  <si>
    <t>Au cours des 6 derniers mois, une défaillance prolongée de l'instrument a-t-elle perturbé la capacité de fournir des services bactériologiques de routine?</t>
  </si>
  <si>
    <t>Au cours des 6 derniers mois, le laboratoire a-t-il connu des ruptures de stock de réactifs classiques? (Par exemple, réactif oxydase, réactif indole, réactif catalase, réactif coagulase, etc.)</t>
  </si>
  <si>
    <t>Au cours des 6 derniers mois, le laboratoire a-t-il connu des ruptures de stock de disques ou de bandelettes d'antibiotiques?</t>
  </si>
  <si>
    <t>Au cours des 6 derniers mois, le laboratoire a-t-il connu des ruptures de stock d'autres matériaux clés?</t>
  </si>
  <si>
    <t>Au cours des 6 derniers mois, des ruptures de stock ont-elles perturbé la capacité du laboratoire à fournir des services de routine en bactériologie?</t>
  </si>
  <si>
    <t>Tous les réactifs reconstitués, tels que le plasma de la coagulase, sont-ils stables depuis la date de reconstitution? (Le plasma de la coagulase expire 30 jours après la reconstitution lorsqu'il est conservé congelé).</t>
  </si>
  <si>
    <t>Equipement fonctionnel?</t>
  </si>
  <si>
    <t>MARQUE:</t>
  </si>
  <si>
    <t>MARQUE/MODÈLE:</t>
  </si>
  <si>
    <t>Can the LIS record the AST method used to obtain each individual antibiotic result (e.g., Etest vs. Vitek vs. disk)?</t>
  </si>
  <si>
    <t>Does the LIS software automatically interpret zone sizes into Susceptible, Intermediate, Resistant?</t>
  </si>
  <si>
    <t>Does the LIS software automatically interpret MICs into Susceptible, Intermediate, Resistant?</t>
  </si>
  <si>
    <t>(An “interface” is an electronic connection that allows information to flow automatically between different computer systems and software applications)</t>
  </si>
  <si>
    <t>Nom de famille du patient</t>
  </si>
  <si>
    <t>Prénom du patient</t>
  </si>
  <si>
    <t>Numéro d'identification du patient</t>
  </si>
  <si>
    <t>Date de naissance du patient</t>
  </si>
  <si>
    <t>Âge du patient</t>
  </si>
  <si>
    <t>Sexe du patient</t>
  </si>
  <si>
    <t>Date d'admission du patient</t>
  </si>
  <si>
    <t>Date de prélèvement de l'échantillon</t>
  </si>
  <si>
    <t>Type de cellules bactériennes (cocci à Gram positif, bacilles à Gram négatif, etc.)</t>
  </si>
  <si>
    <t>Résultats des tests biochimiques (par exemple, "catalase positive") pour les méthodes de test conventionnelles</t>
  </si>
  <si>
    <t>Nom de l'organisme</t>
  </si>
  <si>
    <t>(Une «interface» est une connexion électronique qui permet à l'information de circuler automatiquement entre différents systèmes informatiques et applications logicielles.)</t>
  </si>
  <si>
    <t>1: les systèmes ne sont pas interfacés actuellement</t>
  </si>
  <si>
    <t>NA: pas d'instruments automatisés</t>
  </si>
  <si>
    <t>Si oui, veuillez enregistrer le nom du système dans les commentaires</t>
  </si>
  <si>
    <t>1: les systèmes ne sont pas interfacés</t>
  </si>
  <si>
    <t>Name or initials of person collecting specimen</t>
  </si>
  <si>
    <t>Name or initials of person receiving specimen</t>
  </si>
  <si>
    <t>If the lab has ever tried to use BacLink to transfer data from the LIS into WHONET, were any of the following problems encountered?</t>
  </si>
  <si>
    <t>If the lab has ever tried to use BacLink to transfer data from the automated AST instrument into WHONET, were any of the following problems encountered?</t>
  </si>
  <si>
    <t>Les patients hospitalisés se voient-ils attribuer un numéro d'identification unique lors de leur admission à l'hôpital?</t>
  </si>
  <si>
    <t>Les patients ambulatoires se voient-ils attribuer un numéro d'identification unique lors de leur inscription à la clinique?</t>
  </si>
  <si>
    <t>Les numéros d'identification des patients sont-ils attribués de telle sorte qu'aucun patient ne reçoive le même numéro au cours d'une année?</t>
  </si>
  <si>
    <t>Les patients conservent-ils le même numéro d'identification de patient chaque fois qu'ils sont admis à l'hôpital?</t>
  </si>
  <si>
    <t>Le laboratoire utilise-t-il les mêmes numéros d'identification de patient attribués par l'hôpital et / ou les cliniques?</t>
  </si>
  <si>
    <t>Le laboratoire attribue-t-il un numéro d'identification unique à chaque échantillon reçu au laboratoire?</t>
  </si>
  <si>
    <t>Passez en revue le formulaire de demande type. Contient-il chacun des champs de données suivants?</t>
  </si>
  <si>
    <t>Nom du patient</t>
  </si>
  <si>
    <t>Emplacement du patient (service ou unité au moment de la collecte de l'échantillon, p. Ex. "USI")</t>
  </si>
  <si>
    <t>5: les résultats internes ne sont pas systématiquement enregistrés</t>
  </si>
  <si>
    <t>1: Système entièrement électronique - le médecin ne reçoit pas de papier du laboratoire</t>
  </si>
  <si>
    <t>2: Combinaison de rapports papier et électroniques</t>
  </si>
  <si>
    <t>3: Système entièrement à base de papier</t>
  </si>
  <si>
    <t>4: Principalement écrit à la main sur un formulaire papier</t>
  </si>
  <si>
    <t>Le laboratoire ou l'installation dispose-t-il d'une politique et / ou d'une PON sur la sécurité et la confidentialité des données?</t>
  </si>
  <si>
    <t>Les ordinateurs de laboratoire ont-ils un logiciel antivirus?</t>
  </si>
  <si>
    <t>WHO GLASS (Système mondial de surveillance de la résistance aux antimicrobiens)</t>
  </si>
  <si>
    <t>Autre, veuillez décrire dans les commentaires</t>
  </si>
  <si>
    <t>Le laboratoire saisit les données dans une feuille de calcul Excel</t>
  </si>
  <si>
    <t>Si le laboratoire a déjà essayé d'utiliser BacLink pour transférer des données du LIS dans WHONET, l'un des problèmes suivants a-t-il été rencontré?</t>
  </si>
  <si>
    <t xml:space="preserve">How many times per year does the lab currently receive EQA/PT challenges that include both bacterial identification &amp; AST? (Please do not include challenges designed to focus on a single organism, e.g., TB or N.gonorrhoeae) </t>
  </si>
  <si>
    <t>Are PT/EQA specimens tested by the same staff performing patient testing? (Look for evidence that all staff participate in the challenges, not only supervisors or senior staff)</t>
  </si>
  <si>
    <t>Existe-t-il un manuel qualité conforme aux normes ISO? (15189, 17025 ou 9001)?</t>
  </si>
  <si>
    <t>Existe-t-il un point focal qualité en bactériologie, en charge de la collaboration avec le responsable qualité?</t>
  </si>
  <si>
    <t>1: Oui - 2: Certains, mais voudraient une formation supplémentaire - 3: Aucune formation documentée</t>
  </si>
  <si>
    <t>1: hebdomadaire - 2: mensuelle - 3: sporadiquement - 4: jamais</t>
  </si>
  <si>
    <t>Existe-t-il des preuves que le contrôle de la qualité est effectué à la fréquence indiquée?</t>
  </si>
  <si>
    <t>1: Superviseurs et / ou personnes avec autorisation de supervision - 2: Tous les microbiologistes</t>
  </si>
  <si>
    <t>Le laboratoire dispose-t-il d'un personnel suffisant pour fournir des services de haute qualité? (Y compris le personnel de soutien.)</t>
  </si>
  <si>
    <t>Le laboratoire dispose-t-il d'un processus normalisé pour la formation de nouveaux employés?</t>
  </si>
  <si>
    <t>Culture respiratoire (non tuberculeuse)</t>
  </si>
  <si>
    <t>Norme: le personnel de laboratoire nouvellement embauché doit être évalué pour ses compétences avant de pouvoir effectuer des tâches indépendantes et à nouveau dans un délai de six mois. Tout le personnel de laboratoire doit être évalué régulièrement pour le test de compétence au moins une fois par an. Le personnel affecté à une nouvelle section devrait être évalué avant d'assumer pleinement ses fonctions indépendantes. Lorsque des lacunes sont constatées, le recyclage et la réévaluation doivent être planifiés et documentés. Si les compétences de l’employé restent en deçà des normes, les actions supplémentaires peuvent inclure une révision du travail par le superviseur, la réaffectation de tâches ou toute autre action appropriée. Les enregistrements des évaluations de compétences et des actions qui en résultent doivent être conservés dans les dossiers du personnel et / ou les enregistrements qualité. Les enregistrements doivent indiquer quelles compétences ont été évaluées, comment ces compétences ont été mesurées et par qui l'évaluation a été effectuée.</t>
  </si>
  <si>
    <t>Existe-t-il des preuves que le superviseur ou le responsable de la qualité a reçu une formation adéquate sur la manière d'effectuer une analyse des causes profondes des échecs de CQ?</t>
  </si>
  <si>
    <t>1: Oui - 2: Certains, mais voudraient une formation supplémentaire - 3: Non</t>
  </si>
  <si>
    <t>1: une fois par an; 2: deux fois par an; 3: trois fois par an ou plus; 4: zéro (si zéro, répondez à la question suivante, passez à la section suivante)</t>
  </si>
  <si>
    <t>Le laboratoire envoie-t-il des isolats d'EEQ à un autre laboratoire pour confirmation avant de soumettre les résultats?</t>
  </si>
  <si>
    <t>1: moins de 2 mois; 2: 2 à 6 mois; 3: plus de 6 mois; NA: pas d'EEQ</t>
  </si>
  <si>
    <t xml:space="preserve">Is the pH recorded for all media prepared in house? </t>
  </si>
  <si>
    <t xml:space="preserve">Do QC records for blood agar plates demonstrate that they are checked for their ability to support growth of fastidious organisms such as Streptococcus pneumoniae? </t>
  </si>
  <si>
    <t>Do QC records for chocolate agar plates demonstrate that they are checked for their ability to support the growth of fastidious organisms, such as Neisseria gonorrhoeae or H.influenzae?</t>
  </si>
  <si>
    <t>Do QC records for selective stool agar plates demonstrate that they are checked for their ability to make H2S (hydrogen sulfide) production visible using an H2S producing organism, such as Salmonella spp or Proteus vulgaris?</t>
  </si>
  <si>
    <t>Pseudomonas aeruginosa 27853 and gentamicin disk</t>
  </si>
  <si>
    <t>Enterococcus faecalis 29212 or 33186 and trimethoprim-sulfamethoxazole disk</t>
  </si>
  <si>
    <t>Ability to support growth of Streptococcus pneumoniae</t>
  </si>
  <si>
    <t>Ability to support growth of Haemophilus influenzae</t>
  </si>
  <si>
    <t>Date de préparation</t>
  </si>
  <si>
    <t>Numéro de lot</t>
  </si>
  <si>
    <t>Nom du préparateur</t>
  </si>
  <si>
    <t>Date d'expiration</t>
  </si>
  <si>
    <t>Date d'ouverture</t>
  </si>
  <si>
    <t>De l'eau déminéralisée ou de l'eau distillée est-elle utilisée pour préparer tous les milieux?</t>
  </si>
  <si>
    <t>La suspension autoclavée est-elle refroidie à 45-50 ° C avant d'ajouter des composés supplémentaires (par exemple du sang)?</t>
  </si>
  <si>
    <t>Le pH est-il enregistré pour tous les milieux préparés en interne?</t>
  </si>
  <si>
    <t>Tous les milieux préparés sont-ils conservés entre 2 et 8 ° C jusqu'à leur utilisation?</t>
  </si>
  <si>
    <t>Conductimétrie</t>
  </si>
  <si>
    <t>Stérilité</t>
  </si>
  <si>
    <t>Si le laboratoire achète de l'eau distillée ou déminéralisée, un certificat d'analyse est-il fourni attestant du pH, de la stérilité et de la conductimétrie appropriés?</t>
  </si>
  <si>
    <t>1: Tous - 2: Certains - 3: Aucun</t>
  </si>
  <si>
    <t>Les registres de contrôle de la qualité des géloses sélectives montrent-ils que leur aptitude à rendre visibles les sous-produits acides de la fermentation des glucides est vérifiée à l'aide de fermenteurs et de non-fermenteurs?</t>
  </si>
  <si>
    <t>Standard: CAP MIC.21300; SANAS TG 28-02: 6.1 Les performances appropriées des milieux de culture, des diluants et des autres suspensions préparées en interne doivent être vérifiées, le cas échéant, en ce qui concerne la récupération ou le maintien en survie des organismes cibles, l'inhibition ou la suppression des organismes non cibles, propriétés biochimiques (différentielles et diagnostiques), propriétés physiques (p. ex. pH, volume et stérilité).</t>
  </si>
  <si>
    <t>Le laboratoire ajoute-t-il des cations de calcium ou de magnésium au dMHA?</t>
  </si>
  <si>
    <t>Les enregistrements démontrent-ils que le pH est compris entre 7,2 et 7,4 pour chaque lot?</t>
  </si>
  <si>
    <t>Pseudomonas aeruginosa 27853 et disque de gentamicine</t>
  </si>
  <si>
    <t>Enterococcus faecalis 29212 ou 33186 et disque de triméthoprime-sulfaméthoxazole</t>
  </si>
  <si>
    <t>Le polyanéthol sulfonate de sodium (SPS) est-il ajouté? (un anticoagulant et un stabilisateur de croissance)</t>
  </si>
  <si>
    <t>Des promoteurs de croissance sont-ils ajoutés? (Tels que: gélatine, extrait de levure, hémine (facteur X), NAD (facteur Y), pyridoxine, acide para-amino benzoïque, cystéine)</t>
  </si>
  <si>
    <t>Si oui, veuillez décrire dans les commentaires</t>
  </si>
  <si>
    <t>Si oui, veuillez décrire les commentaires.</t>
  </si>
  <si>
    <t>NOTE: This question applies only to the tubed media and liquid reagents in use by the lab.</t>
  </si>
  <si>
    <t>It does NOT apply to the biochemical reagent wells incorporated into pre-defined identification systems,</t>
  </si>
  <si>
    <t xml:space="preserve">Review QC records for commercial organism identification kits (e.g., API, Liofilchem, RapID) </t>
  </si>
  <si>
    <t>Review the QC records for the ID cards/trays used with automated ID instruments (e.g., Vitek, Phoenix, Microscan, etc.) Check NA if the lab does not use automated systems for organism ID</t>
  </si>
  <si>
    <t>6- CONTROLE QUALITE - METHODES D'IDENTIFICATION</t>
  </si>
  <si>
    <t>Nom du réactif</t>
  </si>
  <si>
    <t>Date de préparation / reconstitution (le cas échéant, par exemple coagulase)</t>
  </si>
  <si>
    <t>Il NE s'applique PAS aux puits de réactifs biochimiques incorporés dans des systèmes d'identification prédéfinis,</t>
  </si>
  <si>
    <t>tels que Vitek, API, Liofilchem, etc.</t>
  </si>
  <si>
    <t>Disque Optochin ("P")</t>
  </si>
  <si>
    <t>Indiquez si les aspects suivants du contrôle de qualité pour les réactifs de sérologie pour Salmonella et / ou Shigella sont effectués.</t>
  </si>
  <si>
    <t>Le contrôle de qualité est-il effectué avec des souches ATCC ou dérivées d'ATCC?</t>
  </si>
  <si>
    <t>1: Toutes les souches recommandées sont utilisées; 2: Certaines des souches recommandées sont utilisées; 3: Aucune des souches de référence recommandées n’est utilisée; N / A</t>
  </si>
  <si>
    <t>Enterococcus faecalis ATCC 29212/CIP 103214 (to assess suitability of MHA for trimethoprim-sulfonamide tests)</t>
  </si>
  <si>
    <t>Pseudomonas aeruginosa ATCC 27853/CIP 76.110</t>
  </si>
  <si>
    <t>Reference cultures (lyophilized state, from the manufacturer) maintained at &lt;-20°C</t>
  </si>
  <si>
    <t>Reference stock cultures (broth preparations of reference cultures) maintained at &lt;-20°C in a suitable stabilizer (10% -15% glycerol in tryptic soy broth, 50% fetal calf serum in broth, defibrinated sheep blood, or skim milk)</t>
  </si>
  <si>
    <t>Monthly working stock culture, or "F1", stored at 2-8°C for up to 4 weeks, then discarded</t>
  </si>
  <si>
    <t>Some QC strains with plasmid-mediated resistance have been shown to lose the plasmid when stored at temperatures above -60°C</t>
  </si>
  <si>
    <t>Are these special AST reference strains maintained at &lt;-60°C?</t>
  </si>
  <si>
    <t>If no, answer NA until 7.31</t>
  </si>
  <si>
    <t xml:space="preserve">CLSI and EUCAST require that all antibiotic QC is performed each day of patient testing, not only when a new lot number is received. </t>
  </si>
  <si>
    <t>Is there documentation showing that the lab has successfully completed either the 20-30 day plan or the 15-replicate (3- x 5-day) plan for all antibiotic disks in use? (Request to see)</t>
  </si>
  <si>
    <t>Pseudomonas aeruginosa ATCC 27853//CIP 76.110</t>
  </si>
  <si>
    <t>If no, answer NA until 7.40</t>
  </si>
  <si>
    <t>Is there documentation showing that the lab has successfully completed either the 20-30 day plan or the 15-replicate (3- x 5-day) plan for all antibiotic strips in use? (Request to see)</t>
  </si>
  <si>
    <t>Is there documentation showing that the lab has successfully completed either the 20-30 day plan or the 15-replicate (3- x 5-day) plan for all antibiotic cards/trays in use? (Request to see)</t>
  </si>
  <si>
    <t>Le laboratoire dispose-t-il des souches de référence ATCC suivantes? (Les équivalents CIP sont également indiqués)</t>
  </si>
  <si>
    <t>E. coli ATCC 25922 / CIP 76.24</t>
  </si>
  <si>
    <t>Pseudomonas aeruginosa ATCC 27853 / CIP 76.110</t>
  </si>
  <si>
    <t>Les souches de référence sont-elles stockées comme suit?</t>
  </si>
  <si>
    <t>Cultures mères de référence (préparations de bouillon de cultures de référence) maintenues à &lt;-20 ° C dans un stabilisant approprié (glycérol à 10% à 15% dans un bouillon de soja tryptique, sérum à 50% de veau foetal dans un bouillon, du sang de mouton défibriné ou du lait écrémé)</t>
  </si>
  <si>
    <t>Le laboratoire a-t-il les souches de référence suivantes en stock? (Les équivalents CIP sont également indiqués)</t>
  </si>
  <si>
    <t>Enterococcus faecalis ATCC 51299 / CIP 104676 (vanB positif, VRE)</t>
  </si>
  <si>
    <t>E. coli ATCC 13353 (CTBL-M-15 BLSE positif)</t>
  </si>
  <si>
    <t>E. coli ATCC 35218 (TEM-1 positif)</t>
  </si>
  <si>
    <t>Il a été démontré que certaines souches de CQ présentant une résistance à un plasmide perdaient ce plasmide lorsqu'elles étaient stockées à des températures supérieures à -60 ° C.</t>
  </si>
  <si>
    <t>Si non, répondez NA jusqu'à 7.31</t>
  </si>
  <si>
    <t>Pseudomonas aeruginosa ATCC 27853 // CPE 76.110</t>
  </si>
  <si>
    <t>Si non, répondez NA jusqu'à 7.40</t>
  </si>
  <si>
    <t>If transport will be delayed, store bottles for automated systems at room temperature; store bottles for manual systems at 37°C.</t>
  </si>
  <si>
    <t>If transport will be delayed, do not refrigerate stool since some pathogens, especially Shigella spp, will die at low temperatures</t>
  </si>
  <si>
    <t>Remarque: toutes les questions concernent uniquement les échantillons de patients cliniques, PAS les échantillons de recherche ou environnementaux.</t>
  </si>
  <si>
    <t>Les échantillons sensibles sont-ils traités moins d’une heure après avoir atteint le laboratoire?</t>
  </si>
  <si>
    <t>Culture respiratoire</t>
  </si>
  <si>
    <t>Culture de fluide cérébro-spinal</t>
  </si>
  <si>
    <t>Les échantillons qui fuient sont-ils rejetés?</t>
  </si>
  <si>
    <t>Les échantillons sont-ils rejetés s'ils ne sont pas transportés au laboratoire dans les délais prescrits?</t>
  </si>
  <si>
    <t>Lorsque les échantillons sont rejetés, le laboratoire en informe-t-il immédiatement le service ou la clinique afin de pouvoir prélever un nouvel échantillon?</t>
  </si>
  <si>
    <t>Le laboratoire (ou un autre service) offre-t-il une formation annuelle au personnel clinique sur la collecte d'échantillons d'hémoculture?</t>
  </si>
  <si>
    <t>La politique précise-t-elle que chaque hémoculture doit provenir d'un site de ponction veineuse différent?</t>
  </si>
  <si>
    <t>Volume minimum (généralement 3 ml)</t>
  </si>
  <si>
    <t>Volume Min / Max</t>
  </si>
  <si>
    <t>Étiquetage correct</t>
  </si>
  <si>
    <t>Si le transport doit être retardé, placez l'échantillon dans un moyen de transport approuvé (tel que Cary-Blair) pendant 24 heures maximum.</t>
  </si>
  <si>
    <t>Review the SOP for manual incubation of blood culture bottles. Does it include each of the following instructions? (If only automated systems are used, answer NA)</t>
  </si>
  <si>
    <t>STOOL CULTURES for Salmonella and Shigella</t>
  </si>
  <si>
    <t>Shigella spp.</t>
  </si>
  <si>
    <t>Le laboratoire inocule-t-il plus d'un échantillon de patient sur la même boîte de Pétri?</t>
  </si>
  <si>
    <t>Quels systèmes d'incubation d'hémoculture le laboratoire utilise-t-il?</t>
  </si>
  <si>
    <t>1: automatisé seulement; 2: système manuel uniquement; 3: systèmes automatisés et manuels</t>
  </si>
  <si>
    <t>Chaque jour d'incubation, examinez visuellement tous les flacons à la recherche de signes de positivité (turbidité, hémolyse, production de gaz).</t>
  </si>
  <si>
    <t>4. Autre, décrivez</t>
  </si>
  <si>
    <t>Standard: CAP MIC.22210; SANAS TR 34-04: 3.2.1.2 Des milieux et des procédures doivent être utilisés pour assurer l’isolement et l’identification des uropathogènes courants tels que Enterobacteriaceae, Enterococcus et Staphylococcus.</t>
  </si>
  <si>
    <t>Gélose au sang</t>
  </si>
  <si>
    <t>Gélose MacConkey ou Eosin Methylene Blue</t>
  </si>
  <si>
    <t>Bouillon d'enrichissement sélectif (par exemple, sélénite, GN, etc.)</t>
  </si>
  <si>
    <t>Autre (décrire dans les commentaires, pas noté)</t>
  </si>
  <si>
    <t>Is catalase testing performed prior to coagulase testing on suspected Staph isolates?</t>
  </si>
  <si>
    <t>For oxidase-positive gram negative bacilli that are not Pseudomonas aeruginosa (lack the characteristic odor), are sufficient tests available to achieve a definitive identification?</t>
  </si>
  <si>
    <t>Remarque: toutes les questions concernent uniquement les isolats de patients cliniques, PAS les isolats de recherche ou environnementaux.</t>
  </si>
  <si>
    <t>Répondez aux questions ci-dessous pour chaque méthode manuelle / biochimique utilisée au laboratoire.</t>
  </si>
  <si>
    <t>Ce réactif est-il utilisé dans votre laboratoire? (Si non, sélectionnez N / A pour les questions restantes à propos de ce réactif)</t>
  </si>
  <si>
    <t>1: toujours - 2: parfois - 3: jamais</t>
  </si>
  <si>
    <t>Quelle est la source du plasma utilisé pour le test de la coagulase?</t>
  </si>
  <si>
    <t>1: Plasma de lapin acheté dans le commerce - 2: Lapin saigné localement - 3: Plasma humain - 4: Autre source (veuillez préciser dans les commentaires)</t>
  </si>
  <si>
    <t>1: toujours 2: parfois 3: jamais; NA, le laboratoire n'effectue pas de test de coagulase sur lame</t>
  </si>
  <si>
    <t>Disque Optochin («P»)</t>
  </si>
  <si>
    <t>Test d'oxydation-fermentation par glucose (OF)</t>
  </si>
  <si>
    <t>Le laboratoire utilise-t-il le milieu d'inoculation recommandé par le fabricant?</t>
  </si>
  <si>
    <t>Après l’incubation, tous les réactifs supplémentaires sont-ils disponibles et ajoutés conformément aux instructions du fabricant? (par exemple, VP1 &amp; 2 pour API)</t>
  </si>
  <si>
    <t>1: oui; 2: partiel; 3: non; NA: les méthodes automatisées ne sont pas utilisées</t>
  </si>
  <si>
    <t>Existe-t-il une pratique standard consistant à effectuer une coloration de Gram sur chaque isolat d’intérêt avant de procéder à tout autre test?</t>
  </si>
  <si>
    <t>Pour les bacilles gram-négatifs oxydase-positifs qui ne sont pas Pseudomonas aeruginosa (sans l'odeur caractéristique), existe-t-il suffisamment de tests pour obtenir une identification définitive?</t>
  </si>
  <si>
    <t xml:space="preserve">Are the in-use antibiotic disks and strips stored in a tightly sealed container with active desiccants? </t>
  </si>
  <si>
    <t>Is there evidence that microbiology staff have received adequate training to recognize intrinsic resistance patterns?    (1: Yes - 2: Some, but would like additional training - 3: No)</t>
  </si>
  <si>
    <t xml:space="preserve">Which AST breakpoint standard does the lab primarily use? </t>
  </si>
  <si>
    <t>Is there evidence that microbiology staff have received adequate training on how to use the CLSI M100 or EUCAST documents effectively? (1: Yes - 2: Some, but would like additional training - 3: No)</t>
  </si>
  <si>
    <t>Les disques et les bandelettes d'antibiotiques sont-ils accompagnés d'un certificat d'analyse du fabricant garantissant qu'ils ont été testés et réalisés conformément aux normes de qualité ISO?</t>
  </si>
  <si>
    <t>Les disques et les bandelettes d'antibiotiques non ouverts sont-ils conservés dans un congélateur sans dégivrage?</t>
  </si>
  <si>
    <t>Les disques et les bandelettes d'antibiotiques en cours d'utilisation sont-ils stockés dans un récipient bien fermé contenant des agents dessicants actifs?</t>
  </si>
  <si>
    <t>Si les dessicants ne possèdent pas d'indicateur de couleur, les dessiccants incolores sont-ils remplacés au moins une fois par mois?</t>
  </si>
  <si>
    <t>Les récipients contenant les disques / bandelettes d'antibiotiques sont-ils conservés au réfrigérateur ou dans un congélateur sans dégivrage lorsqu'ils ne sont pas utilisés?</t>
  </si>
  <si>
    <t>Lors de la préparation d'un inoculum selon la méthode de la suspension de colonies, des colonies de moins de 18 heures ont-elles déjà été utilisées?</t>
  </si>
  <si>
    <t>Lors de la préparation d'un inoculum selon la méthode de la suspension de colonies, des colonies de plus de 24 heures ont-elles déjà été utilisées?</t>
  </si>
  <si>
    <t>Les colonies sont-elles prélevées uniquement sur des milieux non sélectifs, tels que la gélose au sang (la gélose MacConkey est acceptable)</t>
  </si>
  <si>
    <t>Un milieu d’inoculation stérile approprié (TSB ou solution saline) est-il utilisé?</t>
  </si>
  <si>
    <t>L'inoculum est-il toujours utilisé dans les 15 minutes suivant sa préparation?</t>
  </si>
  <si>
    <t>Lors de l'utilisation de distributeurs multi-disques, le fond du distributeur est-il désinfecté entre les isolats?</t>
  </si>
  <si>
    <t>Y a-t-il un maximum de 6 disques d'antibiotiques par plaque de 100 mm?</t>
  </si>
  <si>
    <t>Y a-t-il un maximum de 12 disques d'antibiotiques par plaque de 150 mm?</t>
  </si>
  <si>
    <t>Les disques sont-ils correctement espacés? (Au moins 24 mm de centre à centre, pas de zones qui se chevauchent, pas trop près du bord, zones uniformément circulaires)</t>
  </si>
  <si>
    <t>Par exemple, http://www.ilexmedical.com/files/ETEST_RG.pdf</t>
  </si>
  <si>
    <t>Répondez NA si le laboratoire n'utilise pas d'instrument automatisé</t>
  </si>
  <si>
    <t>Existe-t-il des preuves de telles actions?</t>
  </si>
  <si>
    <t>1: CLSI - 2: EUCAST - 3: Autre (veuillez préciser dans les commentaires) - 4: Aucune / mixte</t>
  </si>
  <si>
    <t>Le laboratoire obtient-il des mises à jour de la norme utilisée au moins tous les trois ans?</t>
  </si>
  <si>
    <t>Existe-t-il un accès Internet dans le laboratoire pour accéder gratuitement à la version en ligne de fichiers PDF EUCAST ou CLSI M100?</t>
  </si>
  <si>
    <t>http://www.eucast.org/ast_of_bacteria/guidance_documents/</t>
  </si>
  <si>
    <t>Existe-t-il des preuves que le personnel de microbiologie a reçu une formation adéquate sur l'utilisation des documents CLSI M100 ou EUCAST? (1: Oui - 2: Certains, mais voudraient une formation supplémentaire - 3: Non)</t>
  </si>
  <si>
    <t>Pour les 3 prochaines questions, répondez NA si le laboratoire n'utilise pas les disques considérés</t>
  </si>
  <si>
    <t xml:space="preserve">Review a patient AST report for a Salmonella or Shigella isolate. Were any of the following drug classes tested or reported? </t>
  </si>
  <si>
    <t>Does the lab use Nalidixic Acid to screen Salmonella isolates for ciprofloxacin resistance?</t>
  </si>
  <si>
    <t>Does the lab use the correct fluoroquinolone (FQ) breakpoints for Salmonella spp? (Enterobacteriaceae FQ breakpoints should not be used for Salmonella spp).</t>
  </si>
  <si>
    <t>Note: Select NA if the lab does NOT use current breakpoints</t>
  </si>
  <si>
    <t xml:space="preserve">Does the lab test Staph aureusisolates against penicillin? </t>
  </si>
  <si>
    <t>Are Staph aureus isolates with penicillin zones sizes or MICs in the susceptible range tested for β-lactamase production using the zone-edge test before being reported as penicillin susceptible?</t>
  </si>
  <si>
    <t xml:space="preserve">When oxacillin and cefoxitin results are discrepant for S. aureus (one is S and one is R), how does the lab report oxacillin? </t>
  </si>
  <si>
    <t>Does the lab perform Staph aureus AST on any beta-lactam antibiotics other than penicillin, oxacillin, cefoxitin, or ceftaroline?</t>
  </si>
  <si>
    <t>When a vancomycin MIC &gt;8 is detected for Staph aureus, is the isolate sent to a referral lab for confirmation testing and further characterization?</t>
  </si>
  <si>
    <t>Are Staph aureus that are resistant to Erythromycin and susceptible or intermediate to Clindamycin tested for inducible clindamycin resistance?</t>
  </si>
  <si>
    <t>Does the lab perform AST for S.pneumoniae? (Not scored. If No, skip to next section.)</t>
  </si>
  <si>
    <t>Does the lab use the disk diffusion method to test any of the following antibiotics against S.pneumo?</t>
  </si>
  <si>
    <t>When S. pneumoniae is isolated from blood or cerebrospinal fluid, does the lab test the following antibiotics using an MIC method?</t>
  </si>
  <si>
    <t xml:space="preserve">When S.pneumoniae is isolated from CSF, are penicillin, ceftriaxone, and/or cefotaxime reported using the meningitis breakpoints only? </t>
  </si>
  <si>
    <t xml:space="preserve">When S.pneumoniae is isolated from specimens other than CSF, are penicillin, ceftriaxone, and/or cefotaxime reported using both meningitis and non-meningitis breakpoints? </t>
  </si>
  <si>
    <t>Are S.pneumoniae that are resistant to Erythromycin and susceptible or intermediate to Clindamycin tested for inducible clindamycin resistance?</t>
  </si>
  <si>
    <t xml:space="preserve">Does the lab perform the test for Inducible Clindamycin Resistance (ICR), also known as the “D-test” on Staph aureusand/or Strep pneumoniae? </t>
  </si>
  <si>
    <t>Does the SOP for the ICR test specify that the erythromycin and clindamycin disks must be placed 15-26 mm apart for Staph species?</t>
  </si>
  <si>
    <t>Does the SOP for the ICR test specify that the erythromycin and clindamycin disks must be placed 12 mm apart for Strep species?</t>
  </si>
  <si>
    <t>Céphalosporines de 2e génération (céfuroxime, céfonicide, céfamandole)</t>
  </si>
  <si>
    <t>Céphamycines (céfoxitine, céfotétan)</t>
  </si>
  <si>
    <t>Aminoglycosides (gentamicine, tobramycine, amikacine)</t>
  </si>
  <si>
    <t>(Sélectionnez NA si l'antibiotique n'est pas utilisé)</t>
  </si>
  <si>
    <t>Enterobacteriaceae et Aztreonam</t>
  </si>
  <si>
    <t>Enterobacteriaceae et Cefotaxime</t>
  </si>
  <si>
    <t>Enterobacteriaceae et Ceftriaxone</t>
  </si>
  <si>
    <t>Enterobacteriaceae et Ceftazidime</t>
  </si>
  <si>
    <t>Enterobacteriaceae et Cefepime</t>
  </si>
  <si>
    <t>Acinetobacter et méropénème</t>
  </si>
  <si>
    <t>Pseudomonas et Cefepime</t>
  </si>
  <si>
    <t>Pseudomonas et Pipéracilline</t>
  </si>
  <si>
    <t>Pseudomonas et Pipéracilline-Tazobactam</t>
  </si>
  <si>
    <t>Pseudomonas et Ticarcilline-Clavulanate</t>
  </si>
  <si>
    <t>La méthode phénotypique des BLSE inclut-elle l’analyse du céfotaxime (ou de la ceftriaxone) ET de la ceftazidime seuls et en association avec de l’acide clavulanique?</t>
  </si>
  <si>
    <t>Le laboratoire effectue-t-il des tests génotypiques pour la production de BLSE? (Par exemple PCR)</t>
  </si>
  <si>
    <t>Le laboratoire effectue-t-il l'un des tests phénotypiques suivants pour la production de carbapénémase?</t>
  </si>
  <si>
    <t>Test de Hodge modifié</t>
  </si>
  <si>
    <t>Test biochimique (colorimétrique), par ex. CarbaNP, BCT ou β CARBA</t>
  </si>
  <si>
    <t>Le laboratoire effectue-t-il des tests génotypiques pour la production de carbapénémase? (Par exemple PCR, GeneXpert, etc.)</t>
  </si>
  <si>
    <t>Les enregistrements indiquent-ils que le laboratoire utilise à la fois les organismes de contrôle positifs et négatifs pour réaliser le test de carbapénémase utilisé?</t>
  </si>
  <si>
    <t>Instrument automatisé (par exemple, Vitek / Phoenix)</t>
  </si>
  <si>
    <t>Microdilution en bouillon (BMD) avec du Polysorbate 80</t>
  </si>
  <si>
    <t>Microdilution en bouillon (BMD) sans Polysorbate 80</t>
  </si>
  <si>
    <t>Lorsque la résistance à la colistine est détectée, l'un des éléments suivants est-il notifié?</t>
  </si>
  <si>
    <t>Superviseur de laboratoire</t>
  </si>
  <si>
    <t>Equipe Maladies Infectieuses</t>
  </si>
  <si>
    <t>Équipe de contrôle des infections</t>
  </si>
  <si>
    <t>Lorsque la résistance à la colistine est détectée, l'isolat est-il envoyé à un laboratoire de référence pour une caractérisation moléculaire (par exemple, recherche de gènes mcr)?</t>
  </si>
  <si>
    <t>Si non, répondez NA à la question suivante</t>
  </si>
  <si>
    <t>Le laboratoire utilise-t-il des disques Oxacillin pour tester le SARM?</t>
  </si>
  <si>
    <t>Le laboratoire utilise-t-il des disques de vancomycine pour tester la présence de VISA / VRSA?</t>
  </si>
  <si>
    <t>Pénicilline</t>
  </si>
  <si>
    <t>Amoxicilline</t>
  </si>
  <si>
    <t>Ampicilline</t>
  </si>
  <si>
    <t>Céfotaxime</t>
  </si>
  <si>
    <t>Céfuroxime</t>
  </si>
  <si>
    <t>Ceftriaxone et / ou Cefotaxime</t>
  </si>
  <si>
    <t>Clindamycine</t>
  </si>
  <si>
    <t>Macrolides (érythromycine, azithromycine, clarithromycine)</t>
  </si>
  <si>
    <t>Tétracyclines (Tétracycline, Minocycline, Doxycycline)</t>
  </si>
  <si>
    <t>Fluoroquinolones (Ciprofloxacine, Lévofloxacine, Moxifloxacine)</t>
  </si>
  <si>
    <t>Nitrofurantoïne</t>
  </si>
  <si>
    <t>Does lab policy primarily determine which isolates recieve AST, or is AST performed only when it is specifically requested by the doctor?</t>
  </si>
  <si>
    <t>Does lab policy primarily determine which antibiotics to test and report, or does the lab only test and report the antibiotics specifically requested by the physician?</t>
  </si>
  <si>
    <t>Le laboratoire produit-il un antibiogramme cumulatif au moins une fois par an?</t>
  </si>
  <si>
    <t>Si non, répondez aux questions suivantes "NA"</t>
  </si>
  <si>
    <t>Passez en revue l'antibiogramme cumulatif le plus récent. Est-il conforme aux recommandations suivantes du CLSI M39?</t>
  </si>
  <si>
    <t>Pour chaque organisme, le total N testé est affiché</t>
  </si>
  <si>
    <t>Les isolats provenant de cultures environnementales et de cultures de dépistage (par exemple, dépistage du SARM, dépistage des ERV) sont-ils exclus de l'analyse?</t>
  </si>
  <si>
    <t>Le laboratoire peut-il séparer les données des patients hospitalisés des données des patients externes?</t>
  </si>
  <si>
    <t>L'antibiogramme cumulatif est-il distribué à tous les médecins?</t>
  </si>
  <si>
    <t> Le laboratoire pratique-t-il la «notification en cascade»?</t>
  </si>
  <si>
    <t>L’hôpital a-t-il un comité de gestion des antibiotiques?</t>
  </si>
  <si>
    <t>Si l'hôpital dispose d'un comité de gestion des antibiotiques, un microbiologiste en est-il un membre?</t>
  </si>
  <si>
    <t>À compléter si aucun autre audit de sécurité n'a été enregistré au cours des 12 derniers mois. Il ne s'agit pas d'un audit de sécurité complet.</t>
  </si>
  <si>
    <t>L'équipement de sécurité standard est-il disponible et utilisé dans le laboratoire?</t>
  </si>
  <si>
    <t>Conteneurs à objets tranchants</t>
  </si>
  <si>
    <t>Trousse de premiers secours</t>
  </si>
  <si>
    <t>Gants</t>
  </si>
  <si>
    <t>La politique du laboratoire exige-t-elle que le personnel de microbiologie porte des chaussures fermées?</t>
  </si>
  <si>
    <t>La politique du laboratoire interdit-elle de manger, de boire et de fumer dans le laboratoire?</t>
  </si>
  <si>
    <t>Un manuel de sécurité / biosécurité est-il disponible dans le laboratoire et facilement accessible à tout le personnel?</t>
  </si>
  <si>
    <t>Un module de formation en sécurité / biosécurité est-il disponible dans le laboratoire?</t>
  </si>
  <si>
    <t>Existe-t-il des documents démontrant que des enquêtes sur les accidents / incidents sont systématiquement menées?</t>
  </si>
  <si>
    <t>Des évaluations des risques sont-elles effectuées chaque année et chaque fois qu'une nouvelle analyse / technologie / équipement est introduit?</t>
  </si>
  <si>
    <t>1-inglés</t>
  </si>
  <si>
    <t>2-francés</t>
  </si>
  <si>
    <t>3-español</t>
  </si>
  <si>
    <t>Evaluación de laboratorio</t>
  </si>
  <si>
    <t>de</t>
  </si>
  <si>
    <t>Nombre del laboratorio</t>
  </si>
  <si>
    <t>Dirección del laboratorio</t>
  </si>
  <si>
    <t>Ciudad / Provincia / Distrito</t>
  </si>
  <si>
    <t>País</t>
  </si>
  <si>
    <t>Fecha de evaluación</t>
  </si>
  <si>
    <t>Cultivos respiratorios (no TB)</t>
  </si>
  <si>
    <t>Cultivos de líquido cefalorraquídeo</t>
  </si>
  <si>
    <t>Cultivos de fluidos corporales estériles</t>
  </si>
  <si>
    <t>Dilución de agar</t>
  </si>
  <si>
    <t>PERSONAL</t>
  </si>
  <si>
    <t>Otro (especificar en comentarios)</t>
  </si>
  <si>
    <t>GESTIÓN DE DATOS</t>
  </si>
  <si>
    <t>PREPARACIÓN DE MEDIOS Y CONTROL DE CALIDAD</t>
  </si>
  <si>
    <t>RECOGIDA, TRANSPORTE Y GESTIÓN DE MUESTRAS</t>
  </si>
  <si>
    <t>IDENTIFICACIÓN</t>
  </si>
  <si>
    <t>Temperatura registrada</t>
  </si>
  <si>
    <t>Rangos definidos</t>
  </si>
  <si>
    <t>GESTIÓN DE AUTOCLAVE</t>
  </si>
  <si>
    <t>DISPONIBILIDAD Y MANTENIMIENTO DE EQUIPOS AUTOMATIZADOS</t>
  </si>
  <si>
    <t>2- SISTEMA DE INFORMACIÓN DE LABORATORIO</t>
  </si>
  <si>
    <t>CAMPOS DE DATOS DEMOGRÁFICOS</t>
  </si>
  <si>
    <t>CAMPOS DE DATOS DE MUESTRAS</t>
  </si>
  <si>
    <t>CONECTIVIDAD DE INTERFAZ</t>
  </si>
  <si>
    <t>3- GESTIÓN DE DATOS</t>
  </si>
  <si>
    <t>IDENTIFICACIÓN DE PACIENTES Y MUESTRAS</t>
  </si>
  <si>
    <t>FORMULARIO DE SOLICITUD DE MUESTRA</t>
  </si>
  <si>
    <t>4- GARANTÍA DE CALIDAD</t>
  </si>
  <si>
    <t>ESTRUCTURA DE CALIDAD / BASICOS</t>
  </si>
  <si>
    <t>EVALUACIÓN DE CALIDAD EXTERNA (EQA)</t>
  </si>
  <si>
    <t>5- CONTROL DE CALIDAD - MEDIOS</t>
  </si>
  <si>
    <t>PREPARACIÓN GENERAL DE MEDIOS</t>
  </si>
  <si>
    <t>PREPARACIÓN DE AGUA DESTILADA / DESIONIZADA</t>
  </si>
  <si>
    <t>6- CONTROL DE CALIDAD - IDENTIFICACIÓN</t>
  </si>
  <si>
    <t>Los controles positivos están en uso.</t>
  </si>
  <si>
    <t>Los controles negativos están en uso.</t>
  </si>
  <si>
    <t>8- RECOGIDA, TRANSPORTE Y GESTIÓN DE MUESTRAS</t>
  </si>
  <si>
    <t>GESTIÓN DE MUESTRAS</t>
  </si>
  <si>
    <t>RECHAZO DE MUESTRAS</t>
  </si>
  <si>
    <t>RECOGIDA Y TRANSPORTE DE MUESTRAS DE SANGRE</t>
  </si>
  <si>
    <t>RECOGIDA Y TRANSPORTE DE MUESTRAS DE ORINA</t>
  </si>
  <si>
    <t>9- PROCESAMIENTO</t>
  </si>
  <si>
    <t>STAPHYLOCOCCUS AUREUS, OTROS MÉTODOS DE IDENTIFICACIÓN</t>
  </si>
  <si>
    <t>STREPTOCOCCUS NEUMONIAE, MÉTODOS DE IDENTIFICACIÓN CONVENCIONALES</t>
  </si>
  <si>
    <t>ENTEROBACTERIACEAE, MÉTODOS DE ID CONVENCIONALES</t>
  </si>
  <si>
    <t>ACINETOBACTER SPP, MÉTODOS DE ID CONVENCIONALES</t>
  </si>
  <si>
    <t>MÉTODOS DE IDENTIFICACIÓN AUTOMATIZADOS</t>
  </si>
  <si>
    <t>FLUJOS DE IDENTIFICACIÓN</t>
  </si>
  <si>
    <t>INOCULACIÓN / INCUBACIÓN</t>
  </si>
  <si>
    <t>PRUEBAS DE COLISTINA</t>
  </si>
  <si>
    <t>EQUIPO DE BIOSEGURIDAD</t>
  </si>
  <si>
    <t>EQUIPO DE PROTECCIÓN PERSONAL</t>
  </si>
  <si>
    <t>DOCUMENTACIÓN Y FORMACIÓN DE BIOSEGURIDAD</t>
  </si>
  <si>
    <t>Catalasa (H2O2)</t>
  </si>
  <si>
    <t>DNasa</t>
  </si>
  <si>
    <t>Oxidasa</t>
  </si>
  <si>
    <t>Reactivos de indol</t>
  </si>
  <si>
    <t>Citrato</t>
  </si>
  <si>
    <t>Ureasa</t>
  </si>
  <si>
    <t>Motilidad</t>
  </si>
  <si>
    <t>Reducción de nitrato</t>
  </si>
  <si>
    <t>Hidrólisis de gelatina</t>
  </si>
  <si>
    <t>Resistencia al cloranfenicol (disco)</t>
  </si>
  <si>
    <t>Crecimiento a 42 ° C</t>
  </si>
  <si>
    <t>Serología Shigella</t>
  </si>
  <si>
    <t>Serología de Salmonella</t>
  </si>
  <si>
    <t>Microscopio</t>
  </si>
  <si>
    <t>Termómetros</t>
  </si>
  <si>
    <t>Tarros de vela</t>
  </si>
  <si>
    <t>Autoclave para preparación de medios (autoclave "limpio")</t>
  </si>
  <si>
    <t>Autoclave para esterilizar residuos (autoclave "sucio")</t>
  </si>
  <si>
    <t>Medidor de conductividad</t>
  </si>
  <si>
    <t>Baño de agua</t>
  </si>
  <si>
    <t>Instrumentos automatizados</t>
  </si>
  <si>
    <t>0- INFORMACIÓN GENERAL</t>
  </si>
  <si>
    <t>Fecha de evaluación (dd / mm / aaaa)</t>
  </si>
  <si>
    <t>Nombre del laboratorio / hospital</t>
  </si>
  <si>
    <t>Dirección</t>
  </si>
  <si>
    <t>Ciudad</t>
  </si>
  <si>
    <t>Provincia</t>
  </si>
  <si>
    <t>Distrito</t>
  </si>
  <si>
    <t>Título / Puesto</t>
  </si>
  <si>
    <t>1. Público / Gobierno</t>
  </si>
  <si>
    <t>2. Privado</t>
  </si>
  <si>
    <t>4. Otro</t>
  </si>
  <si>
    <t>2. Regional</t>
  </si>
  <si>
    <t>3. Provincial</t>
  </si>
  <si>
    <t>4. Distrito</t>
  </si>
  <si>
    <t>3. Terciario</t>
  </si>
  <si>
    <t>¿El laboratorio realiza los siguientes tipos de cultivo?</t>
  </si>
  <si>
    <t>Yersinia enterocolítica</t>
  </si>
  <si>
    <t>Cultivos respiratorios (no TB / AFB)</t>
  </si>
  <si>
    <t>Cultivos de fluidos corporales estériles (pleural, pericárdico, peritoneal, sinovial)</t>
  </si>
  <si>
    <t>Otro, por favor especifique en los comentarios.</t>
  </si>
  <si>
    <t>Productores de BLEE</t>
  </si>
  <si>
    <t>Resistencia a la colistina</t>
  </si>
  <si>
    <t>¿Utiliza el laboratorio PCR para detectar genes de resistencia a antibióticos?</t>
  </si>
  <si>
    <t>BLEE</t>
  </si>
  <si>
    <t>Carbapenemasas</t>
  </si>
  <si>
    <t>En caso afirmativo, ¿cuándo se otorgó la certificación más reciente?</t>
  </si>
  <si>
    <t>1: En los últimos 2 años - 2: Hace más de 2 años - 3: NA</t>
  </si>
  <si>
    <t>1:&gt; 90%; 2: 70% -89%, 3: 50-69%, 4: &lt;50%, NA</t>
  </si>
  <si>
    <t>ACREDITACIÓN Y CERTIFICACIÓN</t>
  </si>
  <si>
    <t>Hemocultivos</t>
  </si>
  <si>
    <t>Pruebas de sensibilidad a antibióticos</t>
  </si>
  <si>
    <t>¿Alguna otra técnica de microbiología aplicada, como la tinción de Gram?</t>
  </si>
  <si>
    <t>¿Quién otorgó la acreditación más reciente? (Revise el certificado de acreditación y escriba el nombre del organismo de acreditación en los comentarios)</t>
  </si>
  <si>
    <t>(ILAC = Cooperación Internacional de Acreditación de Laboratorios)</t>
  </si>
  <si>
    <t>Apellido</t>
  </si>
  <si>
    <t>Dirección de correo electrónico</t>
  </si>
  <si>
    <t>Comentarios</t>
  </si>
  <si>
    <t>Esta sección se completará automáticamente, no ingrese datos</t>
  </si>
  <si>
    <t>Año</t>
  </si>
  <si>
    <t>¿Tiene el laboratorio un sistema funcional de calefacción / aire acondicionado?</t>
  </si>
  <si>
    <t>Describir el servicio de internet en el laboratorio.</t>
  </si>
  <si>
    <t>1: Continuo (las interrupciones del servicio son raras) - 2: Esporádico (las interrupciones del servicio son comunes) - 3: No hay Internet disponible</t>
  </si>
  <si>
    <t>En caso negativo, responda NA hasta la siguiente sección</t>
  </si>
  <si>
    <t>Temperatura ambiente</t>
  </si>
  <si>
    <t>¿Se registran las temperaturas cada día de uso?</t>
  </si>
  <si>
    <t>¿El rango de temperatura aceptable (mínimo y máximo) está claramente definido en la hoja de registro?</t>
  </si>
  <si>
    <t>Congeladores, -20 ° C</t>
  </si>
  <si>
    <t>Congeladores, -60 ° C</t>
  </si>
  <si>
    <t>Congeladores, -80 ° C</t>
  </si>
  <si>
    <t>Baños de agua</t>
  </si>
  <si>
    <t>1: Sí - 2: No se documenta ninguna acción - 3: Las temperaturas no se registran</t>
  </si>
  <si>
    <t>Estándar: los procedimientos deben estar disponibles con instrucciones sobre qué acción (es) deben tomarse cuando las temperaturas están fuera del rango</t>
  </si>
  <si>
    <t>Temperatura</t>
  </si>
  <si>
    <t>Presión</t>
  </si>
  <si>
    <t>Tiempo del ciclo</t>
  </si>
  <si>
    <t>¿Se utiliza el mismo autoclave para la preparación de medios y la esterilización de residuos?</t>
  </si>
  <si>
    <t>DISPONIBILIDAD Y MANTENIMIENTO DEL INSTRUMENTO</t>
  </si>
  <si>
    <t>¿Hay un manual de usuario presente?</t>
  </si>
  <si>
    <t>¿Existe un contrato de servicio?</t>
  </si>
  <si>
    <t>¿El software está actualizado?</t>
  </si>
  <si>
    <t>MARCA:</t>
  </si>
  <si>
    <t>Nombre del paciente</t>
  </si>
  <si>
    <t>Número de identificación del paciente</t>
  </si>
  <si>
    <t>Fecha de nacimiento del paciente</t>
  </si>
  <si>
    <t>Edad del paciente</t>
  </si>
  <si>
    <t>Sexo del paciente</t>
  </si>
  <si>
    <t>Fecha de ingreso del paciente</t>
  </si>
  <si>
    <t>Hora de recogida de la muestra.</t>
  </si>
  <si>
    <t>Cantidad de células epiteliales por campo de baja potencia</t>
  </si>
  <si>
    <t>Cantidad de células bacterianas por campo de alta potencia.</t>
  </si>
  <si>
    <t>Tipo de células bacterianas (cocos gram positivos, bacilos gram negativos, etc.)</t>
  </si>
  <si>
    <t>Tinción de Gram de colonia bacteriana</t>
  </si>
  <si>
    <t>Nombre del organismo</t>
  </si>
  <si>
    <t>(Una "interfaz" es una conexión electrónica que permite que la información fluya automáticamente entre diferentes sistemas informáticos y aplicaciones de software)</t>
  </si>
  <si>
    <t>NA: sin instrumentos automatizados</t>
  </si>
  <si>
    <t>1: los sistemas no están interconectados</t>
  </si>
  <si>
    <t>Fecha de nacimiento o edad del paciente</t>
  </si>
  <si>
    <t>Nombre del médico que ordena la prueba.</t>
  </si>
  <si>
    <t>Nombre o iniciales de la persona que recoge la muestra.</t>
  </si>
  <si>
    <t>Nombre o iniciales de la persona que recibe la muestra.</t>
  </si>
  <si>
    <t>5: Los resultados internos no se registran rutinariamente</t>
  </si>
  <si>
    <t>2: combinación de informes en papel y electrónicos</t>
  </si>
  <si>
    <t>3: sistema totalmente basado en papel</t>
  </si>
  <si>
    <t>4: principalmente escrito a mano en papel</t>
  </si>
  <si>
    <t>1: Diariamente / Continuamente - 2: Otra frecuencia, especificar en comentarios - 3: Nunca - NA: sin base de datos electrónica</t>
  </si>
  <si>
    <t>Otro, por favor describa en los comentarios</t>
  </si>
  <si>
    <t>¿Existe un manual de calidad que cumpla con los estándares ISO? (15189, 17025 o 9001)?</t>
  </si>
  <si>
    <t>1: semanal - 2: mensual - 3: esporádicamente - 4: nunca</t>
  </si>
  <si>
    <t>¿Hay evidencia de que la revisión de CC se realiza con la frecuencia establecida?</t>
  </si>
  <si>
    <t>1: Sí, para todos los resultados de CC - 2: Sí, pero solo para algunos resultados de CC - 3: No</t>
  </si>
  <si>
    <t>¿A quién se le permite modificar resultados de laboratorio erróneos?</t>
  </si>
  <si>
    <t>1: Supervisores y / o personas con permiso de supervisión - 2: Todos los microbiólogos</t>
  </si>
  <si>
    <t>Cultivo respiratorio (no TB)</t>
  </si>
  <si>
    <t>1: una vez al año; 2: dos veces al año; 3: tres veces al año o más; 4: Cero (si es cero, responda la siguiente pregunta, luego pase a la siguiente sección)</t>
  </si>
  <si>
    <t>1: menos de 2 meses; 2: 2 - 6 meses; 3: más de 6 meses; NA: sin EQA</t>
  </si>
  <si>
    <t>5- PREPARACIÓN DE MEDIOS Y CONTROL DE CALIDAD</t>
  </si>
  <si>
    <t>Nombre de los medios</t>
  </si>
  <si>
    <t>Fecha de preparación</t>
  </si>
  <si>
    <t>Número de lote</t>
  </si>
  <si>
    <t>Cantidad hecha</t>
  </si>
  <si>
    <t>Fecha de caducidad</t>
  </si>
  <si>
    <t>Fecha de apertura</t>
  </si>
  <si>
    <t>¿Se usa agua desionizada (DI) o agua destilada para preparar todos los medios?</t>
  </si>
  <si>
    <t>¿Se almacenan las placas dentro de bolsas / mangas para evitar la deshidratación?</t>
  </si>
  <si>
    <t>Conductimetría</t>
  </si>
  <si>
    <t>Esterilidad</t>
  </si>
  <si>
    <t>¿Se verifica la esterilidad de nuevos lotes de medios incubando una porción de placas no inoculadas?</t>
  </si>
  <si>
    <t>¿Se controla la calidad de los medios usando cepas ATCC o derivadas de ATCC?</t>
  </si>
  <si>
    <t>1: Todos - 2: Algunos - 3: Ninguno</t>
  </si>
  <si>
    <t>¿El agar deshidratado Mueller Hinton (dHMA) cumple con las normas ISO 16782 (CLSI M6)? (Bajo contenido de timina / timidina, no suplementado con cationes Mg ++ o Ca ++)</t>
  </si>
  <si>
    <t>¿Se vierten las placas en una superficie nivelada?</t>
  </si>
  <si>
    <t>¿Se almacenan las placas a 2-8 ° C hasta su uso?</t>
  </si>
  <si>
    <t>Pseudomonas aeruginosa 27853 y disco de gentamicina</t>
  </si>
  <si>
    <t>Infusión de 1-cerebro-corazón, 2-peptona suplementada, 3-digestión de caseína de soja (soja tríptica), 4-tioglicolato, 5-tiol, 6-Colombia, 7-brucella, 8-otros, NA</t>
  </si>
  <si>
    <t>¿Se han agregado promotores de crecimiento? (Tales como: gelatina, extracto de levadura, hemina (factor X), NAD (factor Y), piridoxina, ácido para-aminobenzoico, cisteína)</t>
  </si>
  <si>
    <t>En caso afirmativo, describa en los comentarios</t>
  </si>
  <si>
    <t>¿Se añaden resinas o carbón? (para unir antimicrobianos presentes en la sangre del paciente)</t>
  </si>
  <si>
    <t>Inspección visual realizada y documentada</t>
  </si>
  <si>
    <t>6- CONTROL DE CALIDAD - MÉTODOS DE ID</t>
  </si>
  <si>
    <t>1: Sí - 2: Parcial - 3: No</t>
  </si>
  <si>
    <t>Observe los reactivos de tinción de Gram, catalasa, coagulasa, oxidasa e indol en uso por el laboratorio. ¿Están etiquetados con:</t>
  </si>
  <si>
    <t>Nombre del reactivo</t>
  </si>
  <si>
    <t>NO se aplica a los pocillos de reactivos bioquímicos incorporados en sistemas de identificación predefinidos,</t>
  </si>
  <si>
    <t>como Vitek, API, Liofilchem, etc.</t>
  </si>
  <si>
    <t>Se usa control positivo</t>
  </si>
  <si>
    <t>Se usa control negativo</t>
  </si>
  <si>
    <t>Serotipo de Salmonella</t>
  </si>
  <si>
    <t>Siguiendo las instrucciones del fabricante, ¿se utilizan todas las cepas ATCC recomendadas para los kits de identificación?</t>
  </si>
  <si>
    <t>1: se utilizan todas las cepas recomendadas; 2: se utilizan algunas de las cepas recomendadas; 3: No se utiliza ninguna de las cepas de referencia recomendadas; N / A</t>
  </si>
  <si>
    <t>Siguiendo las instrucciones del fabricante, ¿se utilizan todas las cepas ATCC recomendadas para las tarjetas / bandejas de identificación de instrumentos automatizadas?</t>
  </si>
  <si>
    <t>E. coli ATCC 35218 (TEM-1 positivo)</t>
  </si>
  <si>
    <t>Si no, responda NA hasta 7.31</t>
  </si>
  <si>
    <t>Pseudomonas aeruginosa ATCC 27853 // CIP 76.110</t>
  </si>
  <si>
    <t>en caso negativo, responda NA hasta el final</t>
  </si>
  <si>
    <t>Cultivo respiratorio</t>
  </si>
  <si>
    <t>Cultivo de líquido cefalorraquídeo</t>
  </si>
  <si>
    <t>Cultivo de fluidos corporales estériles (pleural, pericárdico, peritoneal, sinovial)</t>
  </si>
  <si>
    <t>¿Se rechazan las muestras mal etiquetadas?</t>
  </si>
  <si>
    <t>¿Se rechazan las muestras si no se transportan al laboratorio dentro de los límites de tiempo establecidos?</t>
  </si>
  <si>
    <t>¿Se rechazan las muestras si hay evidencia de que no se mantuvieron en condiciones adecuadas durante y antes del transporte?</t>
  </si>
  <si>
    <t>¿Existe evidencia de que se aplican los criterios de rechazo de muestras (revisar el registro de rechazo)?</t>
  </si>
  <si>
    <t>¿Mantiene el laboratorio indicadores de calidad con respecto al número de muestras rechazadas?</t>
  </si>
  <si>
    <t>Recoger antes de administrar antibióticos al paciente.</t>
  </si>
  <si>
    <t>Preparación antiséptica de la piel y técnica de recogida aséptica.</t>
  </si>
  <si>
    <t>Instrucciones de limpieza antiséptica para mujeres, hombres y bebés.</t>
  </si>
  <si>
    <t>Instrucciones de flujo medio o "captura limpia"</t>
  </si>
  <si>
    <t>Técnica de recogida</t>
  </si>
  <si>
    <t>Volumen min / max</t>
  </si>
  <si>
    <t>Etiquetado adecuado</t>
  </si>
  <si>
    <t>¿Tiene el laboratorio un POE que describa cómo procesar la sangre para el cultivo bacteriano?</t>
  </si>
  <si>
    <t>¿Qué sistemas de incubación de hemocultivos utiliza el laboratorio?</t>
  </si>
  <si>
    <t>2. Agar cromogénico diseñado para muestras de orina.</t>
  </si>
  <si>
    <t>3. Solo agar sangre</t>
  </si>
  <si>
    <t>4. Otro, describa</t>
  </si>
  <si>
    <t>¿Se realizan cultivos cuantitativos (recuento de colonias)?</t>
  </si>
  <si>
    <t>Agar sangre</t>
  </si>
  <si>
    <t>1: siempre - 2: a veces - 3: nunca</t>
  </si>
  <si>
    <t>Organismos de CC definidos, frecuencia de CC y resultados de CC esperados</t>
  </si>
  <si>
    <t>¿Utiliza el laboratorio los medios de inoculación recomendados por el fabricante?</t>
  </si>
  <si>
    <t>1: sí; 2: parcial; 3: no; NA: no se utilizan métodos automatizados</t>
  </si>
  <si>
    <t>Después de la inoculación de la tarjeta / bandeja, ¿utiliza el laboratorio el inóculo restante para hacer una placa de pureza?</t>
  </si>
  <si>
    <t>¿Es una práctica estándar realizar una tinción de Gram en cada aislamiento de interés antes de realizar cualquier otra prueba?</t>
  </si>
  <si>
    <t>¿Los desecantes cambian de color a medida que aumentan los niveles de humedad (lo que indica la necesidad de reemplazar o recargar)?</t>
  </si>
  <si>
    <t>Al preparar un inóculo utilizando el método de suspensión de colonias, ¿se han utilizado colonias de menos de 18 horas?</t>
  </si>
  <si>
    <t>¿Se utiliza un medio de inoculación estéril apropiado (TSB o solución salina)?</t>
  </si>
  <si>
    <t>¿Se usa un hisopo estéril para inocular la placa?</t>
  </si>
  <si>
    <t>¿Se han movido alguna vez los discos / tiras después de colocarlos en el agar?</t>
  </si>
  <si>
    <t>¿Están los discos espaciados correctamente? (Al menos 24 mm de centro a centro, sin zonas superpuestas, no demasiado cerca del borde, zonas uniformemente circulares)</t>
  </si>
  <si>
    <t>¿Está la placa iluminada adecuadamente con luz reflejada?</t>
  </si>
  <si>
    <t>Por ejemplo http://www.ilexmedical.com/files/ETEST_RG.pdf</t>
  </si>
  <si>
    <t>Responda NA si el laboratorio no usa un instrumento automatizado</t>
  </si>
  <si>
    <t>¿Hay evidencia de tales acciones que se están tomando?</t>
  </si>
  <si>
    <t>1: CLSI - 2: EUCAST - 3: Otro (indique en los comentarios) - 4: Ninguno / mixto</t>
  </si>
  <si>
    <t>Solicite ver la copia impresa más reciente del estándar del laboratorio. ¿Tiene menos de 3 años?</t>
  </si>
  <si>
    <t>Cefalosporinas de segunda generación (cefuroxima, cefonicida, cefamandol)</t>
  </si>
  <si>
    <t>Cefamicinas (cefoxitina, cefotetano)</t>
  </si>
  <si>
    <t>Aminoglucósidos (gentamicina, tobramicina, amikacina)</t>
  </si>
  <si>
    <t>(Seleccione NA si el antibiótico no está en uso)</t>
  </si>
  <si>
    <t>Enterobacteriaceae y Aztreonam</t>
  </si>
  <si>
    <t>Enterobacteriaceae y Cefotaxima</t>
  </si>
  <si>
    <t>Enterobacteriaceae y Ceftriaxona</t>
  </si>
  <si>
    <t>Enterobacteriaceae y Ceftazidima</t>
  </si>
  <si>
    <t>Enterobacteriaceae y Cefepima</t>
  </si>
  <si>
    <t>Enterobacteriaceae e Imipenem</t>
  </si>
  <si>
    <t>Enterobacteriaceae y Meropenem</t>
  </si>
  <si>
    <t>Enterobacteriaceae y Ertapenem</t>
  </si>
  <si>
    <t>Enterobacteriaceae y Doripenem</t>
  </si>
  <si>
    <t>Acinetobacter e Imipenem</t>
  </si>
  <si>
    <t>Acinetobacter y Meropenem</t>
  </si>
  <si>
    <t>Acinetobacter y Doripenem</t>
  </si>
  <si>
    <t>Pseudomonas y cefepima</t>
  </si>
  <si>
    <t>Pseudomonas y Piperacilina</t>
  </si>
  <si>
    <t>Pseudomonas y Piperacilina-Tazobactam</t>
  </si>
  <si>
    <t>Pseudomonas y clavulanato de ticarcilina</t>
  </si>
  <si>
    <t>Pseudomonas e Imipenem</t>
  </si>
  <si>
    <t>Pseudomonas y Meropenem</t>
  </si>
  <si>
    <t>Pseudomonas y Doripenem</t>
  </si>
  <si>
    <t>Si no, responda NA hasta la Sección de Pruebas de Carbapenemasa</t>
  </si>
  <si>
    <t>Prueba de Hodge modificada</t>
  </si>
  <si>
    <t>Agar cromogénico específico para productores de carbapenemasas</t>
  </si>
  <si>
    <t>Supervisor de laboratorio</t>
  </si>
  <si>
    <t>Equipo de enfermedades infecciosas</t>
  </si>
  <si>
    <t>Equipo de control de infecciones</t>
  </si>
  <si>
    <t>Si no, responda NA a la siguiente pregunta</t>
  </si>
  <si>
    <t>Responda NA si la vancomicina no se prueba</t>
  </si>
  <si>
    <t>¿Se lee la superficie superior del agar con la cubierta quitada?</t>
  </si>
  <si>
    <t>¿No hay más de 4 discos por placa de 100 mm o 9 discos por placa de 150 mm?</t>
  </si>
  <si>
    <t>Penicilina</t>
  </si>
  <si>
    <t>Amoxicilina</t>
  </si>
  <si>
    <t>Ampicilina</t>
  </si>
  <si>
    <t>Cefotaxima</t>
  </si>
  <si>
    <t>Ceftriaxona</t>
  </si>
  <si>
    <t>Cefuroxima</t>
  </si>
  <si>
    <t>Cefepima</t>
  </si>
  <si>
    <t>Ceftriaxona y / o Cefotaxima</t>
  </si>
  <si>
    <t>Clindamicina</t>
  </si>
  <si>
    <t>Macrólidos (eritromicina, azitromicina, claritromicina)</t>
  </si>
  <si>
    <t>Tetraciclinas (tetraciclina, minociclina, doxiciclina)</t>
  </si>
  <si>
    <t>Fluoroquinolonas (Ciprofloxacina, Levofloxacina, Moxifloxacina)</t>
  </si>
  <si>
    <t>Nitrofurantoína</t>
  </si>
  <si>
    <t>Enterococcus spp.</t>
  </si>
  <si>
    <t>Orina</t>
  </si>
  <si>
    <t>LCR</t>
  </si>
  <si>
    <t>Sangre</t>
  </si>
  <si>
    <t>En caso negativo, responda las siguientes preguntas "NA"</t>
  </si>
  <si>
    <t>¿Tiene el laboratorio un programa de software para producir el antibiograma?</t>
  </si>
  <si>
    <t>Para cada organismo, se muestra el N total probado</t>
  </si>
  <si>
    <t>¿Hay equipos de seguridad estándar disponibles y en uso en el laboratorio?</t>
  </si>
  <si>
    <t>Estación de lavado de manos</t>
  </si>
  <si>
    <t>Estación de lavado de ojos / botella</t>
  </si>
  <si>
    <t>Contenedores de objetos punzantes</t>
  </si>
  <si>
    <t>Kit de derrame</t>
  </si>
  <si>
    <t>Botiquín de primeros auxilios</t>
  </si>
  <si>
    <t>Guantes</t>
  </si>
  <si>
    <t>Gafas de protección</t>
  </si>
  <si>
    <t>Altitude</t>
  </si>
  <si>
    <t>Latitude</t>
  </si>
  <si>
    <t>Longitude</t>
  </si>
  <si>
    <t>Laboratory/Facility Level</t>
  </si>
  <si>
    <t>Number of beds of the Facility</t>
  </si>
  <si>
    <t>Service level of the Facility</t>
  </si>
  <si>
    <t>Primary Laboratory funding sources</t>
  </si>
  <si>
    <t>General information</t>
  </si>
  <si>
    <t>Manual AST in use</t>
  </si>
  <si>
    <t>Autom. AST in use</t>
  </si>
  <si>
    <t>Lab enrolled in the WHO LQSI program?</t>
  </si>
  <si>
    <t>Lab enrolled in the SLIPTA program?</t>
  </si>
  <si>
    <t>Most recent certification awarded?</t>
  </si>
  <si>
    <t>what star level of the latest SLIPTA audit?</t>
  </si>
  <si>
    <t>Overall % score for the 4 phases?</t>
  </si>
  <si>
    <t>Other mentoring program?</t>
  </si>
  <si>
    <t>QMS Mentoring pgm</t>
  </si>
  <si>
    <t>Accreditation/Certification</t>
  </si>
  <si>
    <t>Other such as Gram staining?</t>
  </si>
  <si>
    <t>Accreditation/certification body</t>
  </si>
  <si>
    <t>ID/AST of isolates referred from other labs</t>
  </si>
  <si>
    <t>FLAG #</t>
  </si>
  <si>
    <t>laboratory facility</t>
  </si>
  <si>
    <t>Data management</t>
  </si>
  <si>
    <t>Quality assurance</t>
  </si>
  <si>
    <t>Media QC</t>
  </si>
  <si>
    <t>Specimen collection</t>
  </si>
  <si>
    <t>Expert rules</t>
  </si>
  <si>
    <t>AST panels/policy</t>
  </si>
  <si>
    <t>Biosafety</t>
  </si>
  <si>
    <t>Red Flag</t>
  </si>
  <si>
    <t>Training opportunities</t>
  </si>
  <si>
    <t>System flag</t>
  </si>
  <si>
    <t>Full name</t>
  </si>
  <si>
    <t>Code</t>
  </si>
  <si>
    <t>Media Prep equipment</t>
  </si>
  <si>
    <t>Autom. Instruments</t>
  </si>
  <si>
    <t>TO1</t>
  </si>
  <si>
    <t>TO2</t>
  </si>
  <si>
    <t>TO3</t>
  </si>
  <si>
    <t>TO4</t>
  </si>
  <si>
    <t>TO5</t>
  </si>
  <si>
    <t>TO6</t>
  </si>
  <si>
    <t>TO7</t>
  </si>
  <si>
    <t>TO8</t>
  </si>
  <si>
    <t>TO9</t>
  </si>
  <si>
    <t>TO10</t>
  </si>
  <si>
    <t>FAC</t>
  </si>
  <si>
    <t>DATA</t>
  </si>
  <si>
    <t>MPREP</t>
  </si>
  <si>
    <t>IDQC</t>
  </si>
  <si>
    <t>ASTQC</t>
  </si>
  <si>
    <t>SPEC</t>
  </si>
  <si>
    <t>PROC</t>
  </si>
  <si>
    <t>ID</t>
  </si>
  <si>
    <t>BAST</t>
  </si>
  <si>
    <t>EAST</t>
  </si>
  <si>
    <t>PANE</t>
  </si>
  <si>
    <t>SAFE</t>
  </si>
  <si>
    <t>FAC1</t>
  </si>
  <si>
    <t>FAC2</t>
  </si>
  <si>
    <t>FAC3</t>
  </si>
  <si>
    <t>FAC4</t>
  </si>
  <si>
    <t>FAC5</t>
  </si>
  <si>
    <t>FAC6</t>
  </si>
  <si>
    <t>FAC7</t>
  </si>
  <si>
    <t>FAC8</t>
  </si>
  <si>
    <t>FAC9</t>
  </si>
  <si>
    <t>FAC10</t>
  </si>
  <si>
    <t>FAC11</t>
  </si>
  <si>
    <t>LIS1</t>
  </si>
  <si>
    <t>LIS2</t>
  </si>
  <si>
    <t>LIS3</t>
  </si>
  <si>
    <t>LIS4</t>
  </si>
  <si>
    <t>LIS5</t>
  </si>
  <si>
    <t>LIS6</t>
  </si>
  <si>
    <t>DATA1</t>
  </si>
  <si>
    <t>DATA2</t>
  </si>
  <si>
    <t>DATA3</t>
  </si>
  <si>
    <t>DATA4</t>
  </si>
  <si>
    <t>DATA5</t>
  </si>
  <si>
    <t>DATA6</t>
  </si>
  <si>
    <t>DATA7</t>
  </si>
  <si>
    <t>QA1</t>
  </si>
  <si>
    <t>QA2</t>
  </si>
  <si>
    <t>QA3</t>
  </si>
  <si>
    <t>QA4</t>
  </si>
  <si>
    <t>MPREP1</t>
  </si>
  <si>
    <t>MPREP2</t>
  </si>
  <si>
    <t>MPREP3</t>
  </si>
  <si>
    <t>MPREP4</t>
  </si>
  <si>
    <t>MPREP5</t>
  </si>
  <si>
    <t>MPREP6</t>
  </si>
  <si>
    <t>IDQC1</t>
  </si>
  <si>
    <t>IDQC2</t>
  </si>
  <si>
    <t>IDQC3</t>
  </si>
  <si>
    <t>IDQC4</t>
  </si>
  <si>
    <t>IDQC5</t>
  </si>
  <si>
    <t>IDQC6</t>
  </si>
  <si>
    <t>IDQC7</t>
  </si>
  <si>
    <t>IDQC8</t>
  </si>
  <si>
    <t>ASTQC1</t>
  </si>
  <si>
    <t>ASTQC2</t>
  </si>
  <si>
    <t>ASTQC3</t>
  </si>
  <si>
    <t>ASTQC4</t>
  </si>
  <si>
    <t>ASTQC5</t>
  </si>
  <si>
    <t>SPEC1</t>
  </si>
  <si>
    <t>SPEC2</t>
  </si>
  <si>
    <t>SPEC3</t>
  </si>
  <si>
    <t>SPEC4</t>
  </si>
  <si>
    <t>SPEC5</t>
  </si>
  <si>
    <t>PROC1</t>
  </si>
  <si>
    <t>PROC2</t>
  </si>
  <si>
    <t>PROC3</t>
  </si>
  <si>
    <t>PROC4</t>
  </si>
  <si>
    <t>ID1</t>
  </si>
  <si>
    <t>ID2</t>
  </si>
  <si>
    <t>ID3</t>
  </si>
  <si>
    <t>ID4</t>
  </si>
  <si>
    <t>ID5</t>
  </si>
  <si>
    <t>ID6</t>
  </si>
  <si>
    <t>ID7</t>
  </si>
  <si>
    <t>ID8</t>
  </si>
  <si>
    <t>ID9</t>
  </si>
  <si>
    <t>ID10</t>
  </si>
  <si>
    <t>ID11</t>
  </si>
  <si>
    <t>ID12</t>
  </si>
  <si>
    <t>ID13</t>
  </si>
  <si>
    <t>ID14</t>
  </si>
  <si>
    <t>ID15</t>
  </si>
  <si>
    <t>BAST1</t>
  </si>
  <si>
    <t>BAST2</t>
  </si>
  <si>
    <t>BAST3</t>
  </si>
  <si>
    <t>BAST4</t>
  </si>
  <si>
    <t>BAST5</t>
  </si>
  <si>
    <t>BAST6</t>
  </si>
  <si>
    <t>EAST1</t>
  </si>
  <si>
    <t>EAST2</t>
  </si>
  <si>
    <t>EAST3</t>
  </si>
  <si>
    <t>EAST4</t>
  </si>
  <si>
    <t>EAST5</t>
  </si>
  <si>
    <t>EAST6</t>
  </si>
  <si>
    <t>EAST7</t>
  </si>
  <si>
    <t>EAST8</t>
  </si>
  <si>
    <t>EAST9</t>
  </si>
  <si>
    <t>EAST10</t>
  </si>
  <si>
    <t>PAN1</t>
  </si>
  <si>
    <t>PAN2</t>
  </si>
  <si>
    <t>PAN3</t>
  </si>
  <si>
    <t>SAFE1</t>
  </si>
  <si>
    <t>SAFE2</t>
  </si>
  <si>
    <t>SAFE3</t>
  </si>
  <si>
    <t>SAFE4</t>
  </si>
  <si>
    <t>Name</t>
  </si>
  <si>
    <t>ADD</t>
  </si>
  <si>
    <t>PROV</t>
  </si>
  <si>
    <t>DIS</t>
  </si>
  <si>
    <t>ASS1</t>
  </si>
  <si>
    <t>ASS2</t>
  </si>
  <si>
    <t>ASS3</t>
  </si>
  <si>
    <t>Date</t>
  </si>
  <si>
    <t>Z</t>
  </si>
  <si>
    <t>X</t>
  </si>
  <si>
    <t>Fund</t>
  </si>
  <si>
    <t>type</t>
  </si>
  <si>
    <t>level</t>
  </si>
  <si>
    <t>Slev</t>
  </si>
  <si>
    <t>Beds</t>
  </si>
  <si>
    <t>DD</t>
  </si>
  <si>
    <t>Grad</t>
  </si>
  <si>
    <t>bmicro</t>
  </si>
  <si>
    <t>bmacro</t>
  </si>
  <si>
    <t>AgarD</t>
  </si>
  <si>
    <t>Vit</t>
  </si>
  <si>
    <t>Pho</t>
  </si>
  <si>
    <t>Mic</t>
  </si>
  <si>
    <t>Other</t>
  </si>
  <si>
    <t>Genes/PCR</t>
  </si>
  <si>
    <t>OESBL</t>
  </si>
  <si>
    <t>OCRE</t>
  </si>
  <si>
    <t>OMRSA</t>
  </si>
  <si>
    <t>OVRE</t>
  </si>
  <si>
    <t>OCOLI</t>
  </si>
  <si>
    <t>GESBL</t>
  </si>
  <si>
    <t>GCARBA</t>
  </si>
  <si>
    <t>GMECA</t>
  </si>
  <si>
    <t>GVAN</t>
  </si>
  <si>
    <t>GMRC</t>
  </si>
  <si>
    <t>GOTH</t>
  </si>
  <si>
    <t>OOTH</t>
  </si>
  <si>
    <t>SLIP</t>
  </si>
  <si>
    <t>DSLIP</t>
  </si>
  <si>
    <t>SSLIP</t>
  </si>
  <si>
    <t>LQSI</t>
  </si>
  <si>
    <t>LQSIP</t>
  </si>
  <si>
    <t>OMENT</t>
  </si>
  <si>
    <t>ABLOOD</t>
  </si>
  <si>
    <t>ASTOL</t>
  </si>
  <si>
    <t>AURINE</t>
  </si>
  <si>
    <t>AORGA</t>
  </si>
  <si>
    <t>AAST</t>
  </si>
  <si>
    <t>AOTH</t>
  </si>
  <si>
    <t>BODY</t>
  </si>
  <si>
    <t>WLBLOOD</t>
  </si>
  <si>
    <t>WLURIN</t>
  </si>
  <si>
    <t>WLSTOOL</t>
  </si>
  <si>
    <t>WLRESPI</t>
  </si>
  <si>
    <t>WLWOUND</t>
  </si>
  <si>
    <t>WLCSF</t>
  </si>
  <si>
    <t>WLBF</t>
  </si>
  <si>
    <t>WFGENIT</t>
  </si>
  <si>
    <t>WLANAERO</t>
  </si>
  <si>
    <t>WLYEAST</t>
  </si>
  <si>
    <t>WLMOLD</t>
  </si>
  <si>
    <t>WLMRSA</t>
  </si>
  <si>
    <t>WLVRE</t>
  </si>
  <si>
    <t>WLCRE</t>
  </si>
  <si>
    <t>WLREFER</t>
  </si>
  <si>
    <t>WLOTH</t>
  </si>
  <si>
    <t>GENERAL INDICATOR</t>
  </si>
  <si>
    <t>GI</t>
  </si>
  <si>
    <t>GS</t>
  </si>
  <si>
    <t>BMIC</t>
  </si>
  <si>
    <t>BMAC</t>
  </si>
  <si>
    <t>AGAD</t>
  </si>
  <si>
    <t>ADVMIC</t>
  </si>
  <si>
    <t>ADVOTH</t>
  </si>
  <si>
    <t>PGMIC</t>
  </si>
  <si>
    <t>PGOTH</t>
  </si>
  <si>
    <t>BOTH</t>
  </si>
  <si>
    <t>UGMIC</t>
  </si>
  <si>
    <t>UGOTH</t>
  </si>
  <si>
    <t>HS</t>
  </si>
  <si>
    <t>OTJ</t>
  </si>
  <si>
    <t>SOTH</t>
  </si>
  <si>
    <t>%MED</t>
  </si>
  <si>
    <t>%GRA</t>
  </si>
  <si>
    <t>MCF</t>
  </si>
  <si>
    <t>RULCAL</t>
  </si>
  <si>
    <t>BB</t>
  </si>
  <si>
    <t>CL</t>
  </si>
  <si>
    <t>DENS</t>
  </si>
  <si>
    <t>PIP</t>
  </si>
  <si>
    <t>CENT</t>
  </si>
  <si>
    <t>MICRO</t>
  </si>
  <si>
    <t>THERM</t>
  </si>
  <si>
    <t>CO2</t>
  </si>
  <si>
    <t>CJ</t>
  </si>
  <si>
    <t>INC</t>
  </si>
  <si>
    <t>REF</t>
  </si>
  <si>
    <t>F-20</t>
  </si>
  <si>
    <t>F-60</t>
  </si>
  <si>
    <t>F-80</t>
  </si>
  <si>
    <t>DESS</t>
  </si>
  <si>
    <t>HAO</t>
  </si>
  <si>
    <t>BSCIIA</t>
  </si>
  <si>
    <t>CAUTO</t>
  </si>
  <si>
    <t>DAUTO</t>
  </si>
  <si>
    <t>PH</t>
  </si>
  <si>
    <t>BAL</t>
  </si>
  <si>
    <t>CONDUC</t>
  </si>
  <si>
    <t>WD</t>
  </si>
  <si>
    <t>HPMS</t>
  </si>
  <si>
    <t>WB</t>
  </si>
  <si>
    <t>BCI</t>
  </si>
  <si>
    <t>ISAST</t>
  </si>
  <si>
    <t>DDR</t>
  </si>
  <si>
    <t>MT</t>
  </si>
  <si>
    <t>PCRAST</t>
  </si>
  <si>
    <t>RF</t>
  </si>
  <si>
    <t>TO</t>
  </si>
  <si>
    <t>SF</t>
  </si>
  <si>
    <t>1- Facility questions</t>
  </si>
  <si>
    <t>2- LIS questions</t>
  </si>
  <si>
    <t>5- Media questions</t>
  </si>
  <si>
    <t>6-ID_Q</t>
  </si>
  <si>
    <t>9-Proc-Q</t>
  </si>
  <si>
    <t>10-Identification questions</t>
  </si>
  <si>
    <t>11- Basic AST questions</t>
  </si>
  <si>
    <t>12-AST expert rules questions</t>
  </si>
  <si>
    <t>13-ASTP Q</t>
  </si>
  <si>
    <t>Q1.1</t>
  </si>
  <si>
    <t>Q1.2</t>
  </si>
  <si>
    <t>Q1.3</t>
  </si>
  <si>
    <t>Q1.4</t>
  </si>
  <si>
    <t>Q1.5</t>
  </si>
  <si>
    <t>Q1.6</t>
  </si>
  <si>
    <t>Q1.7</t>
  </si>
  <si>
    <t>Q1.8</t>
  </si>
  <si>
    <t>Q1.9</t>
  </si>
  <si>
    <t>Q1.10</t>
  </si>
  <si>
    <t>Q1.11</t>
  </si>
  <si>
    <t>Q1.12</t>
  </si>
  <si>
    <t>Q1.13</t>
  </si>
  <si>
    <t>Q1.14</t>
  </si>
  <si>
    <t>Q1.15</t>
  </si>
  <si>
    <t>Q1.16</t>
  </si>
  <si>
    <t>Q1.17</t>
  </si>
  <si>
    <t>Q1.18</t>
  </si>
  <si>
    <t>Q1.19</t>
  </si>
  <si>
    <t>Q1.20</t>
  </si>
  <si>
    <t>Q1.21</t>
  </si>
  <si>
    <t>Q2.1</t>
  </si>
  <si>
    <t>Q2.2</t>
  </si>
  <si>
    <t>Q2.3</t>
  </si>
  <si>
    <t>Q2.4</t>
  </si>
  <si>
    <t>Q2.5</t>
  </si>
  <si>
    <t>Q2.6</t>
  </si>
  <si>
    <t>Q2.7</t>
  </si>
  <si>
    <t>Q2.8</t>
  </si>
  <si>
    <t>Q2.9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</si>
  <si>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</si>
  <si>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</si>
  <si>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</si>
  <si>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</si>
  <si>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</si>
  <si>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</si>
  <si>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</si>
  <si>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</si>
  <si>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</si>
  <si>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</si>
  <si>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</si>
  <si>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</si>
  <si>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</si>
  <si>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</si>
  <si>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</si>
  <si>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</si>
  <si>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</si>
  <si>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</si>
  <si>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</si>
  <si>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</si>
  <si>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</si>
  <si>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</si>
  <si>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</si>
  <si>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</si>
  <si>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</si>
  <si>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</si>
  <si>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</si>
  <si>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</si>
  <si>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</si>
  <si>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</si>
  <si>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</si>
  <si>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</si>
  <si>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</si>
  <si>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</si>
  <si>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</si>
  <si>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</si>
  <si>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Q5.1</t>
  </si>
  <si>
    <t>Q5.2</t>
  </si>
  <si>
    <t>Q5.3</t>
  </si>
  <si>
    <t>Q5.4</t>
  </si>
  <si>
    <t>Q5.5</t>
  </si>
  <si>
    <t>Q5.6</t>
  </si>
  <si>
    <t>Q5.7</t>
  </si>
  <si>
    <t>Q5.8</t>
  </si>
  <si>
    <t>Q5.9</t>
  </si>
  <si>
    <t>Q5.10</t>
  </si>
  <si>
    <t>Q5.11</t>
  </si>
  <si>
    <t>Q5.12</t>
  </si>
  <si>
    <t>Q5.13</t>
  </si>
  <si>
    <t>Q6.1</t>
  </si>
  <si>
    <t>Q6.2</t>
  </si>
  <si>
    <t>Q9.1</t>
  </si>
  <si>
    <t>Q10.1</t>
  </si>
  <si>
    <t>Q10.2</t>
  </si>
  <si>
    <t>Q10.3</t>
  </si>
  <si>
    <t>Q10.4</t>
  </si>
  <si>
    <t>Q10.5</t>
  </si>
  <si>
    <t>Q10.6</t>
  </si>
  <si>
    <t>Q10.7</t>
  </si>
  <si>
    <t>Q10.8</t>
  </si>
  <si>
    <t>Q10.9</t>
  </si>
  <si>
    <t>Q10.10</t>
  </si>
  <si>
    <t>Q10.11</t>
  </si>
  <si>
    <t>Q10.12</t>
  </si>
  <si>
    <t>Q10.13</t>
  </si>
  <si>
    <t>Q10.14</t>
  </si>
  <si>
    <t>Q10.15</t>
  </si>
  <si>
    <t>Q10.16</t>
  </si>
  <si>
    <t>Q10.17</t>
  </si>
  <si>
    <t>Q10.18</t>
  </si>
  <si>
    <t>Q10.19</t>
  </si>
  <si>
    <t>Q10.20</t>
  </si>
  <si>
    <t>Q10.21</t>
  </si>
  <si>
    <t>Q10.22</t>
  </si>
  <si>
    <t>Q10.23</t>
  </si>
  <si>
    <t>Q10.24</t>
  </si>
  <si>
    <t>Q10.25</t>
  </si>
  <si>
    <t>Q10.26</t>
  </si>
  <si>
    <t>Q10.27</t>
  </si>
  <si>
    <t>Q10.28</t>
  </si>
  <si>
    <t>Q10.29</t>
  </si>
  <si>
    <t>Q10.30</t>
  </si>
  <si>
    <t>Q10.31</t>
  </si>
  <si>
    <t>Q10.32</t>
  </si>
  <si>
    <t>Q10.33</t>
  </si>
  <si>
    <t>Q10.34</t>
  </si>
  <si>
    <t>Q10.35</t>
  </si>
  <si>
    <t>Q11.1</t>
  </si>
  <si>
    <t>Q11.2</t>
  </si>
  <si>
    <t>Q11.3</t>
  </si>
  <si>
    <t>Q11.4</t>
  </si>
  <si>
    <t>Q11.5</t>
  </si>
  <si>
    <t>Q11.6</t>
  </si>
  <si>
    <t>Q11.7</t>
  </si>
  <si>
    <t>Q11.8</t>
  </si>
  <si>
    <t>Q11.9</t>
  </si>
  <si>
    <t>Q11.10</t>
  </si>
  <si>
    <t>Q11.11</t>
  </si>
  <si>
    <t>Q11.12</t>
  </si>
  <si>
    <t>Q11.13</t>
  </si>
  <si>
    <t>Q12.1</t>
  </si>
  <si>
    <t>Q12.2</t>
  </si>
  <si>
    <t>Q12.3</t>
  </si>
  <si>
    <t>Q12.4</t>
  </si>
  <si>
    <t>Q12.5</t>
  </si>
  <si>
    <t>Q12.6</t>
  </si>
  <si>
    <t>Q12.7</t>
  </si>
  <si>
    <t>Q12.8</t>
  </si>
  <si>
    <t>Q12.9</t>
  </si>
  <si>
    <t>Q12.10</t>
  </si>
  <si>
    <t>Q12.11</t>
  </si>
  <si>
    <t>Q12.12</t>
  </si>
  <si>
    <t>Q12.13</t>
  </si>
  <si>
    <t>Q12.14</t>
  </si>
  <si>
    <t>Q12.15</t>
  </si>
  <si>
    <t>Q12.16</t>
  </si>
  <si>
    <t>Q12.17</t>
  </si>
  <si>
    <t>Q12.18</t>
  </si>
  <si>
    <t>Q12.19</t>
  </si>
  <si>
    <t>Q12.20</t>
  </si>
  <si>
    <t>Q12.21</t>
  </si>
  <si>
    <t>Q12.22</t>
  </si>
  <si>
    <t>Q12.23</t>
  </si>
  <si>
    <t>Q12.24</t>
  </si>
  <si>
    <t>Q12.25</t>
  </si>
  <si>
    <t>Q12.26</t>
  </si>
  <si>
    <t>Q12.27</t>
  </si>
  <si>
    <t>Q12.28</t>
  </si>
  <si>
    <t>Q12.29</t>
  </si>
  <si>
    <t>Q12.30</t>
  </si>
  <si>
    <t>Q12.31</t>
  </si>
  <si>
    <t>Q12.32</t>
  </si>
  <si>
    <t>Q13.1</t>
  </si>
  <si>
    <t>Q13.2</t>
  </si>
  <si>
    <t>Resistencia a los Antibióticos</t>
  </si>
  <si>
    <t>Capacidad para Detectar</t>
  </si>
  <si>
    <t>Figura para usar en el módulo de CC de las PSA, preguntas 7.7 - 7.11</t>
  </si>
  <si>
    <t>Figura para usar en el Módulo de "Instalaciones", pregunta 1.13</t>
  </si>
  <si>
    <t>Estándares de McFarland frente a una tarjeta Wickerham</t>
  </si>
  <si>
    <t>Evaluación de las Capacidad del Laboratorio para detectar Resistencia a los Antibióticos</t>
  </si>
  <si>
    <t>Actualizado en agosto de 2019 - Adaptación en Excel realizada por IQLS, Agosto de 2019</t>
  </si>
  <si>
    <t xml:space="preserve">LISTADO DE PRUEBAS DEL LABORATORIO Y CARGA DE TRABAJO ANUAL DE CULTIVOS </t>
  </si>
  <si>
    <t>Urocultivos</t>
  </si>
  <si>
    <t>Coprocultivos</t>
  </si>
  <si>
    <t>Cultivos de heridas</t>
  </si>
  <si>
    <t>Cultivos genitales</t>
  </si>
  <si>
    <t>Cultivos de anaerobios</t>
  </si>
  <si>
    <t>Cultivos de hongos (levadura)</t>
  </si>
  <si>
    <t>Cultivos de hongos (moho)</t>
  </si>
  <si>
    <t>Búsqueda de SARM (narinas, axilas, ingles)</t>
  </si>
  <si>
    <t>Búsqueda de ERV (hisopo rectal)</t>
  </si>
  <si>
    <t>Búsqueda de ERC (hisopo rectal)</t>
  </si>
  <si>
    <t>Identificación y /o PSA de aislados enviados por otros laboratorios</t>
  </si>
  <si>
    <t>Otras cultivos de importancia local</t>
  </si>
  <si>
    <t>CARGA DE TRABAJO ANUAL DE LAS PSA</t>
  </si>
  <si>
    <t>Instrumento automatizado de PSA</t>
  </si>
  <si>
    <t>Difusión con discos</t>
  </si>
  <si>
    <t>Tira de gradiente (Ej., Etest / Liofilchem)</t>
  </si>
  <si>
    <t>Microdilución en caldo (placa de 96 pocillos)</t>
  </si>
  <si>
    <t>Macrodilución en caldo (método en tubo)</t>
  </si>
  <si>
    <t>Título de Medicina especialidad Microbiología/Análisis Clínicos (PhD, MD)</t>
  </si>
  <si>
    <t>Título de Medicina, otra especialidad (PhD, MD)</t>
  </si>
  <si>
    <t>Máster/postgrado Universitario en Microbiología o Análisis Clínicos</t>
  </si>
  <si>
    <t>Máster/postgrado Universitario, otra especialidad</t>
  </si>
  <si>
    <t>Grado/Licenciatura en Microbiología o Análisis Clínicos</t>
  </si>
  <si>
    <t>Grado/Licenciatura, otra especialidad</t>
  </si>
  <si>
    <t>Certificado / Diploma de pregrado en Microbiología o Análisis Clínicos</t>
  </si>
  <si>
    <t>Certificado / Diploma de pregrado, otra especialización</t>
  </si>
  <si>
    <t>Diploma de secundaria /bachillerato</t>
  </si>
  <si>
    <t>Solo experiencia profesional</t>
  </si>
  <si>
    <t>Proporción de personal con formación en Medicina especialidad Microbiología o Análisis Clínicos</t>
  </si>
  <si>
    <t>Proporción de personal con grado/licenciatura o superior</t>
  </si>
  <si>
    <t>NÚMERO DE ALERTAS</t>
  </si>
  <si>
    <t>Oportunidades de formación</t>
  </si>
  <si>
    <t>Alertas del sistema</t>
  </si>
  <si>
    <t xml:space="preserve">INSTALACIONES </t>
  </si>
  <si>
    <t>GARANTÍA DE CALIDAD</t>
  </si>
  <si>
    <t>CC DE LA ID</t>
  </si>
  <si>
    <t>CC DE PSA</t>
  </si>
  <si>
    <t>PROCESAMIENTO</t>
  </si>
  <si>
    <t>ASPECTOS BÁSICOS DE PSA</t>
  </si>
  <si>
    <t>REGLAS DE EXPERTO PARA PSA</t>
  </si>
  <si>
    <t>POLÍTICAS Y ANÁLISIS DE PANELES DE PSA</t>
  </si>
  <si>
    <t>SEGURIDAD</t>
  </si>
  <si>
    <t>1- INSTALACIONES</t>
  </si>
  <si>
    <t>INSTALACIONES DEL LABORATORIO</t>
  </si>
  <si>
    <t>DISPONIBILIDAD DE EQUIPAMIENTO BÁSICO</t>
  </si>
  <si>
    <t>DISPONIBILIDAD DE EQUIPAMIENTO PARA LA PREPARACIÓN DE MEDIOS</t>
  </si>
  <si>
    <t>REGISTROS DE CALIBRACIÓN DEL EQUIPAMIENTO</t>
  </si>
  <si>
    <t>TERMÓMETROS</t>
  </si>
  <si>
    <t>VIGILANCIA DE TEMPERATURA Y ATMÓSFERA</t>
  </si>
  <si>
    <t>GESTIÓN DEL AUTOCLAVE</t>
  </si>
  <si>
    <t>INVENTARIOS Y RUPTURAS DE STOCK</t>
  </si>
  <si>
    <t>CAMPOS PARA DATOS DEMOGRÁFICOS</t>
  </si>
  <si>
    <t>CAMPOS PARA DATOS DE MUESTRAS</t>
  </si>
  <si>
    <t>CAMPOS PARA DATOS DE LAS PSA</t>
  </si>
  <si>
    <t>CAPACIDADES DE NOTIFICACIÓN Y DE TRANSFERENCIA DE DATOS</t>
  </si>
  <si>
    <t>RECEPCIÓN DE ENVÍOS</t>
  </si>
  <si>
    <t>OBSERVACIONES DEL CULTIVO</t>
  </si>
  <si>
    <t>NOTIFICACIÓN DE RESULTADOS DE PSA</t>
  </si>
  <si>
    <t>SEGURIDAD Y COPIA DE SEGURIDAD DE DATOS</t>
  </si>
  <si>
    <t>TRANSFERENCIA DE DATOS DE RAM</t>
  </si>
  <si>
    <t>EDUCACIÓN / FORMACIÓN / COMPETENCIA DEL PERSONAL DE LABORATORIO</t>
  </si>
  <si>
    <t>RESOLUCIÓN DE PROBLEMAS Y ANÁLISIS DE CAUSA-RAÍZ</t>
  </si>
  <si>
    <t>EVALUACIÓN EXTERNA DE CALIDAD (EQA)</t>
  </si>
  <si>
    <t>POEs DE PREPARACIÓN DE MEDIOS</t>
  </si>
  <si>
    <t>CC DE MEDIOS RUTINARIOS</t>
  </si>
  <si>
    <t xml:space="preserve">PREPARACIÓN Y CC DE MEDIOS MULLER HINTON </t>
  </si>
  <si>
    <t xml:space="preserve">PREPARACIÓN Y CC DE FRASCOS DE HEMOCULTIVOS </t>
  </si>
  <si>
    <t>CC DE TINCIÓN DE GRAM y ETIQUETADO Y ALMACENAMIENTO DE REACTIVOS</t>
  </si>
  <si>
    <t>CC DE MÉTODOS BIOQUÍMICOS INDIVIDUALES</t>
  </si>
  <si>
    <t>El CC se realiza en cada nuevo lote/número de lote</t>
  </si>
  <si>
    <t>El CC se realiza usando cepas ATCC o derivadas de ATCC</t>
  </si>
  <si>
    <t>CC DE PRUEBAS SEROLÓGICAS PARA PATÓGENOS ENTÉRICOS</t>
  </si>
  <si>
    <t>CC DE KITS COMERCIALES DE IDENTIFICACIÓN Y SISTEMAS DE IDENTIFICACIÓN AUTOMATIZADA</t>
  </si>
  <si>
    <t>7- CONTROL DE CALIDAD - PSA</t>
  </si>
  <si>
    <t>CEPAS DE REFERENCIA PARA PSA DE RUTINA</t>
  </si>
  <si>
    <t>CEPAS DE REFERENCIA PARA PSA ESPECIALES</t>
  </si>
  <si>
    <t>CC DE LAS PSA DE DIFUSIÓN CON DISCOS</t>
  </si>
  <si>
    <t>CC DE LAS PSA CON TIRAS DE GRADIENTE</t>
  </si>
  <si>
    <t>CC DE SISTEMAS AUTOMATIZADOS DE PSA</t>
  </si>
  <si>
    <t>RECOGIDA Y TRANSPORTE DE MUESTRAS DE HECES</t>
  </si>
  <si>
    <t>PROCESAMIENTO DE HEMOCULTIVOS</t>
  </si>
  <si>
    <t>SISTEMAS MANUALES DE HEMOCULTIVOS</t>
  </si>
  <si>
    <t>UROCULTIVO</t>
  </si>
  <si>
    <t>COPROCULTIVOS para Salmonella y Shigella</t>
  </si>
  <si>
    <t>10- POEs y MÉTODOS DE IDENTIFICACIÓN</t>
  </si>
  <si>
    <t>MÉTODOS CONVENCIONALES DE IDENTIFICACIÓN - RESUMEN DE PUNTUACIÓN DE POEs</t>
  </si>
  <si>
    <t>Completamente implementado*, POE actualizado</t>
  </si>
  <si>
    <t>el POE está fácilmente disponible ** para el personal del laboratorio</t>
  </si>
  <si>
    <t>el POE define organismos de CC, frecuencia y resultados esperados</t>
  </si>
  <si>
    <t>el POE proporciona instrucciones paso a paso para realizar la prueba.</t>
  </si>
  <si>
    <t>el POE proporciona instrucciones paso a paso para la interpretación de las pruebas.</t>
  </si>
  <si>
    <t xml:space="preserve">STAPHYLOCOCCUS AUREUS, MÉTODOS CLAVE DE IDENTIFICACIÓN </t>
  </si>
  <si>
    <t xml:space="preserve">STREPTOCOCCUS PNEUMONIAE, MÉTODOS CONVENCIONALES DE IDENTIFICACIÓN </t>
  </si>
  <si>
    <t>ENTEROBACTERIACEAE, MÉTODOS CONVENCIONALES DE IDENTIFICACIÓN</t>
  </si>
  <si>
    <t>SEROLOGÍA DE SHIGELLA / SALMONELLA</t>
  </si>
  <si>
    <t>ACINETOBACTER SPP, MÉTODOS CONVENCIONALES DE IDENTIFICACIÓN</t>
  </si>
  <si>
    <t>MÉTODOS DE IDENTIFICACIÓN BASADOS EN KIT</t>
  </si>
  <si>
    <t>ALGORITMOS DE IDENTIFICACIÓN</t>
  </si>
  <si>
    <t>11- ASPECTOS BÁSICOS DE PSA</t>
  </si>
  <si>
    <t>MANTENIMIENTO DE DISCOS CON ANTIBIÓTICO Y TIRAS DE GRADIENTE</t>
  </si>
  <si>
    <t>PREPARACIÓN DEL INÓCULO</t>
  </si>
  <si>
    <t>LECTURA DE RESULTADOS DE PSA</t>
  </si>
  <si>
    <t>INTERPRETACIÓN DE RESULTADOS</t>
  </si>
  <si>
    <t>ESTÁNDARES DE LOS PUNTOS DE CORTE</t>
  </si>
  <si>
    <t>REGLAS DE EXPERTO PARA SALMONELLA</t>
  </si>
  <si>
    <t>GRAM NEGATIVOS Y PUNTOS DE CORTE DE BETALACTÁMICOS</t>
  </si>
  <si>
    <t>PRUEBAS FENOTÍPICAS PARA LA DETECCIÓN DE BLEE</t>
  </si>
  <si>
    <t>PRUEBAS FENOTÍPICAS PARA LA DETECCIÓN DE CARBAPENEMASAS</t>
  </si>
  <si>
    <t>PRUEBAS DE SENSIBILIDAD A COLISTINA</t>
  </si>
  <si>
    <t>REGLAS DE EXPERTO PARA STAPH AUREUS</t>
  </si>
  <si>
    <t>CONSIDERACIONES GENERALES PARA STREP PNEUMONIAE</t>
  </si>
  <si>
    <t>REGLAS DE EXPERTO PARA STREP PNEUMONIAE</t>
  </si>
  <si>
    <t>PRUEBAS PARA LA DETECCIÓN DE RESISTENCIA INDUCIBLE A CLINDAMICINA</t>
  </si>
  <si>
    <t>REGLAS DE EXPERTO PARA EL LÍQUIDO CEFALORRAQUÍDEO</t>
  </si>
  <si>
    <t>13- POLÍTICAS Y ANÁLISIS DE PANELES DE PSA</t>
  </si>
  <si>
    <t>PANELES DE PSA</t>
  </si>
  <si>
    <t>INFORME ACUMULADO DE ANTIBIOGRAMA</t>
  </si>
  <si>
    <t>POLÍTICAS DE PANEL DE PSA</t>
  </si>
  <si>
    <t>COMPORTAMIENTOS DE BIOSEGURIDAD</t>
  </si>
  <si>
    <t>Plasma-coagulasa</t>
  </si>
  <si>
    <t>Aglutinación de látex para estafilococos</t>
  </si>
  <si>
    <t>Medio CHROMagar para la identificación de estafilococos</t>
  </si>
  <si>
    <t>Pirrolidonilarilamidasa  (PYR)</t>
  </si>
  <si>
    <t>Disco de  Optoquina ("P")</t>
  </si>
  <si>
    <t>Solubilidad en bilis (desoxicolato)</t>
  </si>
  <si>
    <t>Aglutinación de látex para Strep. pneumo</t>
  </si>
  <si>
    <t>Rojo de metilo</t>
  </si>
  <si>
    <t>Agar Hierro-Triple-Azúcar o agar de Hierro de Kligler</t>
  </si>
  <si>
    <t>Agar Lisina Hierro (LIA) o Lisina descarboxilasa (LDC)</t>
  </si>
  <si>
    <t>Prueba de oxidación-fermentación (OF) de la glucosa o dextrosa</t>
  </si>
  <si>
    <t>Reducción de nitratos</t>
  </si>
  <si>
    <t>Hidrólisis de la gelatina</t>
  </si>
  <si>
    <t>Crecimiento a 42°C</t>
  </si>
  <si>
    <t>Serología de Shigella</t>
  </si>
  <si>
    <t>Resumen de equipamiento disponible</t>
  </si>
  <si>
    <t>Equipamiento general</t>
  </si>
  <si>
    <t>Estándares de turbidez de McFarland con valores de concentración final conocidos, incluido el de 0.5, no caducados</t>
  </si>
  <si>
    <t>Regla o pie de rey con marcas milimétricas</t>
  </si>
  <si>
    <t>Mecheros Bunsen o microincineradores</t>
  </si>
  <si>
    <t>Asas de siembra calibradas de 1uL o 10uL (para sembrar en placa cultivos de orina)</t>
  </si>
  <si>
    <t>Densitómetro óptico / turbidímetro (para determinar la turbidez de McFarland)</t>
  </si>
  <si>
    <t>Pipetas de microlitros (Ej., Eppendorf)</t>
  </si>
  <si>
    <t>Centrífuga (no utilizada para cultivos de TB)</t>
  </si>
  <si>
    <t>Estufas de CO2</t>
  </si>
  <si>
    <t>Estufa a temperatura ambiente (sin CO2)</t>
  </si>
  <si>
    <t>Nevera (2-8°C)</t>
  </si>
  <si>
    <t>Congelador no frost, -20 ° C</t>
  </si>
  <si>
    <t>Congelador no frost, -60 ° C</t>
  </si>
  <si>
    <t>Congelador no frost, -80 ° C</t>
  </si>
  <si>
    <t>Desecantes recargables (para el almacenamiento de cartuchos abiertos de discos y tiras con antibióticos)</t>
  </si>
  <si>
    <t>Estufa (para secar desecantes saturados)</t>
  </si>
  <si>
    <t>Cabina de seguridad biológica clase IIA</t>
  </si>
  <si>
    <t>Equipamiento para la preparación de medios</t>
  </si>
  <si>
    <t>pH-metro</t>
  </si>
  <si>
    <t>Balanza de peso</t>
  </si>
  <si>
    <t>Destilador / equipo de ósmosis inversa</t>
  </si>
  <si>
    <t>Agitador magnético con placa calefactora (para mezclar medios en polvo)</t>
  </si>
  <si>
    <t>Instrumento para hemocultivos</t>
  </si>
  <si>
    <t>Instrumento para identificación bacteriana y PSA (Ej., Vitek, Phoenix, Microscan)</t>
  </si>
  <si>
    <t>Instrumento de lectura de pruebas de difusión con discos (Ej., SIRSCAN, BIOMIC V3, ADAGIO, etc.)</t>
  </si>
  <si>
    <t>Instrumento MALDI para la identificación de organismos</t>
  </si>
  <si>
    <t>Instrumento de PCR para la detección de genes de resistencia a antibióticos</t>
  </si>
  <si>
    <t>Alertas</t>
  </si>
  <si>
    <t>Las Alertas Rojas representan prácticas que pueden poner en riesgo a los pacientes o al personal y deben corregirse de inmediato</t>
  </si>
  <si>
    <t>Las oportunidades de formación resaltan áreas en las que frecuentemente falta suficiente formación</t>
  </si>
  <si>
    <t>Las Alertas del Sistema resaltan problemas con el Sistema Hospitalario o con los Sistemas Nacionales. El responsable del laboratorio necesita comunicarse con el hospital o el responsable nacional para obtener asistencia para cambiarlo</t>
  </si>
  <si>
    <t>Alertas Rojas</t>
  </si>
  <si>
    <t>Alerta del Sistema</t>
  </si>
  <si>
    <t>Número total de Alertas Rojas</t>
  </si>
  <si>
    <t>Número total de oportunidades de formación</t>
  </si>
  <si>
    <t>Número total de Alertas del Sistema</t>
  </si>
  <si>
    <t>DEMOGRAFÍA DEL LABORATORIO</t>
  </si>
  <si>
    <t>Información de contacto del responsable más relevante del laboratorio de bacteriología; Ej., Director, Gerente, Supervisor, Jefe de Sección, Responsable de Calidad</t>
  </si>
  <si>
    <t>Responsable del Laboratorio de Microbiología</t>
  </si>
  <si>
    <t>Responsable técnico</t>
  </si>
  <si>
    <t>Científico de laboratorio</t>
  </si>
  <si>
    <t>Responsable del Laboratorio de cultivos</t>
  </si>
  <si>
    <t>Fuentes primarias de financiación del Laboratorio / Centro</t>
  </si>
  <si>
    <t>3. ONG / Iglesia / Donantes</t>
  </si>
  <si>
    <t>4. Otra</t>
  </si>
  <si>
    <t>Afiliación primaria del Laboratorio</t>
  </si>
  <si>
    <t>1. Hospital: Centro Médico Universitario u Hospital Universitario</t>
  </si>
  <si>
    <t>2. Hospital: Militar</t>
  </si>
  <si>
    <t>3. Hospital: (no académico ni militar)</t>
  </si>
  <si>
    <t>4. Clínica (principalmente ambulatoria)</t>
  </si>
  <si>
    <t>5. Laboratorio de referencia dentro de un Instituto de Salud Pública</t>
  </si>
  <si>
    <t>6. Laboratorio de referencia no afiliado a un centro de salud o instituto de salud pública</t>
  </si>
  <si>
    <t>7. Otra, Ej., Laboratorio de investigación</t>
  </si>
  <si>
    <t>Nivel del Laboratorio / Centro (si está financiado principalmente por el gobierno)</t>
  </si>
  <si>
    <t>1. Nacional</t>
  </si>
  <si>
    <t>Nivel de servicio del Hospital / Centro sanitario</t>
  </si>
  <si>
    <t>1. Primario</t>
  </si>
  <si>
    <t>2. Secundario</t>
  </si>
  <si>
    <t>Número de camas del Hospital / Centro sanitario</t>
  </si>
  <si>
    <t>Nota: todas las preguntas se refieren solo a muestras clínicas de pacientes, NO a muestras ambientales o de investigación</t>
  </si>
  <si>
    <t>LISTADO DE PRUEBAS DEL LABORATORIO y CARGA DE TRABAJO</t>
  </si>
  <si>
    <t>En la columna #/año, introduzca el número total de cultivos realizados el año pasado, tanto positivos como negativos.</t>
  </si>
  <si>
    <t>Coprocultivos (todos los patógenos entéricos bacterianos)</t>
  </si>
  <si>
    <t>Indique si el laboratorio realiza un coprocultivo para los siguientes patógenos entéricos. No introduzca el número de cultivos.</t>
  </si>
  <si>
    <t>Salmonella y/o Shigella</t>
  </si>
  <si>
    <t>E. coli enterohemorrágico / enterotoxigénico (Ej., O157: H7)</t>
  </si>
  <si>
    <t>Cultivos  de anaerobios</t>
  </si>
  <si>
    <t>Búsqueda de ERV para control de infecciones (Ej., hisopo rectal)</t>
  </si>
  <si>
    <t>Búsqueda de ERC (Ej., hisopo rectal)</t>
  </si>
  <si>
    <t>Identificación y/o PSA en aislados enviados por otros laboratorios.</t>
  </si>
  <si>
    <t>Otros cultivos de importancia local (oportunidad de personalizar introduciendo comentarios)</t>
  </si>
  <si>
    <t>MÉTODOS PSA/RAM Y CARGA DE TRABAJO</t>
  </si>
  <si>
    <t>¿Qué métodos manuales de PSA están en uso?</t>
  </si>
  <si>
    <t>En la columna #/año, introduzca el número aproximado de organismos analizados con cada método, no el número de antibióticos analizados.</t>
  </si>
  <si>
    <t>Tiras de gradiente (Ej., Etest / Liofilchem)</t>
  </si>
  <si>
    <t>¿Qué métodos automatizados de PSA están en uso?</t>
  </si>
  <si>
    <t>¿Utiliza el laboratorio CHROMagar para detectar organismos resistentes a los antibióticos?</t>
  </si>
  <si>
    <t>En la columna #/año, introduzca la cantidad aproximada de organismos analizados con cada método</t>
  </si>
  <si>
    <t>ERC/Carbapenemasas</t>
  </si>
  <si>
    <t>EDUCACIÓN / FORMACIÓN DEL PERSONAL DE LABORATORIO</t>
  </si>
  <si>
    <t>Indique el número de empleados del laboratorio de bacteriología (abarcando desde responsables a técnicos) que hay en cada una de las siguientes categorías de nivel de formación:.</t>
  </si>
  <si>
    <t>Título de Medicina especialidad Microbiología o Análisis Clínicos (PhD, MD, equivalente)</t>
  </si>
  <si>
    <t>Título de Medicina, otra especialidad (PhD, MD, equivalente)</t>
  </si>
  <si>
    <t>Número de empleados con formación en Microbiología o Análisis Clínicos</t>
  </si>
  <si>
    <t>Número de personal con otra formación</t>
  </si>
  <si>
    <t>Proporción de personal con formación en Microbiología o Análisis Clínicos</t>
  </si>
  <si>
    <t>Número de empleados con un título de Grado/Licenciatura o superior</t>
  </si>
  <si>
    <t>Número de empleados con un título inferior al Grado/Licenciatura</t>
  </si>
  <si>
    <t>Proporción de empleados con un título de Grado/Licenciatura o superior</t>
  </si>
  <si>
    <t>PROGRAMAS DE MENTORÍA DE SISTEMAS DE GESTIÓN DE CALIDAD (SGC)</t>
  </si>
  <si>
    <t>¿Ha participado el laboratorio alguna vez en el programa SLIPTA (Sistema Escalonado de Mejora de la Calidad en los Laboratorios para su Acreditación)?</t>
  </si>
  <si>
    <r>
      <t xml:space="preserve">En caso afirmativo, ¿cuál es el nivel de </t>
    </r>
    <r>
      <rPr>
        <sz val="10"/>
        <rFont val="Calibri"/>
        <family val="2"/>
        <scheme val="minor"/>
      </rPr>
      <t>estrellas</t>
    </r>
    <r>
      <rPr>
        <sz val="10"/>
        <color rgb="FF000000"/>
        <rFont val="Calibri"/>
        <family val="2"/>
        <scheme val="minor"/>
      </rPr>
      <t xml:space="preserve"> de la última auditoría SLIPTA? Revise el certificado.</t>
    </r>
  </si>
  <si>
    <t>(0: 0 estrellas; 1: 1 estrella; 2: 2 estrellas, 3: 3 estrellas; 4: 4 estrellas; 5: 5 estrellas, NA)</t>
  </si>
  <si>
    <t>¿Se ha inscrito el laboratorio alguna vez en el programa LQSI de la OMS? ¿En qué año?</t>
  </si>
  <si>
    <t>En caso afirmativo, ¿cuál fue el último porcentaje general para las 4 fases? ¿En qué año?</t>
  </si>
  <si>
    <t>¿Se ha inscrito el laboratorio alguna vez en algún otro programa de mentoría para la Gestión de la Calidad del Laboratorio (Nacional, Regional, Internacional)? ¿Cuándo?</t>
  </si>
  <si>
    <t>¿Posee el laboratorio un certificado de acreditación ISO 15189 válido (actualizado) para cualquiera de las siguientes pruebas? (Confirmar revisando el certificado)</t>
  </si>
  <si>
    <t>Identificación de organismos</t>
  </si>
  <si>
    <t>1: Miembro de pleno derecho de ILAC; 2: miembro asociado de ILAC; 3: Miembro afiliado de ILAC; 4: accionista de ILAC; 5: Organismo de Cooperación Regional de ILAC; 6: Otro / No sé; 7: Junta Nacional de Acreditación; N/A</t>
  </si>
  <si>
    <t>Nombre</t>
  </si>
  <si>
    <t># cultivos del año pasado</t>
  </si>
  <si>
    <t># organismos del año pasado</t>
  </si>
  <si>
    <t># empleados</t>
  </si>
  <si>
    <t>Año en que se otorgó</t>
  </si>
  <si>
    <t xml:space="preserve">1- INSTALACIONES </t>
  </si>
  <si>
    <t>Nota: todas las preguntas se refieren al equipo que se usa para muestras clínicas de pacientes, NO al equipo que se usa solo para muestras de investigación</t>
  </si>
  <si>
    <t>Observe las poyatas de trabajo del laboratorio, están:</t>
  </si>
  <si>
    <t>¿Separadas de las áreas de atención al paciente?</t>
  </si>
  <si>
    <t>¿Organizadas con el mínimo desorden?</t>
  </si>
  <si>
    <t>¿Adecuadamente ventiladas?</t>
  </si>
  <si>
    <t>¿Libres de exceso de humedad?</t>
  </si>
  <si>
    <t>¿Iluminadas adecuadamente?</t>
  </si>
  <si>
    <t>¿Se mantiene la temperatura en el laboratorio entre 20°-25° C?</t>
  </si>
  <si>
    <t>¿Están todos los equipos críticos (instrumentos, refrigeradores, congeladores, estufas, ordenadores, instrumentos automatizados) conectados a un generador que funcione?</t>
  </si>
  <si>
    <t>¿Están todos los equipos críticos conectados a sistemas de alimentación ininterrumpida (SAI)? (Estos proporcionan energía temporal hasta que se pueda activar el generador)</t>
  </si>
  <si>
    <t>En los últimos 6 meses, ¿se ha interrumpido la capacidad de proporcionar servicios bacteriológicos de rutina debido a un corte prolongado del suministro eléctrico?</t>
  </si>
  <si>
    <t>¿Existe un plan de contingencia en vigor para trabajar de manera continuada en caso de un corte prolongado de la electricidad (Ej., corte de energía que dure varios días)?</t>
  </si>
  <si>
    <t>Estándar: ISO 15189: 5.2.5 y 5.2.10 El espacio del laboratorio debe ser suficiente para que se pueda garantizar la calidad en el trabajo, la seguridad del personal y la capacidad del personal para llevar a cabo los procedimientos y la documentación del control de calidad. El laboratorio debe estar limpio y bien organizado, ordenado, bien ventilado, adecuadamente iluminado y dentro de rangos de temperatura aceptables. Debe haber disponible energía de emergencia para instrumentos sensibles, para el almacenamiento con temperatura controlada y otros equipos esenciales que sirvan para evitar daños e interrupciones debido a fluctuaciones y cortes inesperados de energía. Los instrumentos sensibles deben estar equipados con protectores de sobretensión. El agua destilada y desionizada debe estar disponible, en caso de que sea necesario.</t>
  </si>
  <si>
    <t>DISPONIBILIDAD GENERAL DE EQUIPAMIENTO</t>
  </si>
  <si>
    <t>Nevera (2-8 ° C)</t>
  </si>
  <si>
    <t>¿Prepara el laboratorio algún medio o agua destilada? (Ej., agar sangre, agar Mueller Hinton, frascos de hemocultivo)</t>
  </si>
  <si>
    <t>REGISTROS DE CALIBRACIÓN DE LOS EQUIPOS</t>
  </si>
  <si>
    <t>Revise los registros de calibración para cada equipo. ¿Se ha calibrado en el último año? (Marque NA si el laboratorio no tiene el equipo en cuestión).</t>
  </si>
  <si>
    <t>Densitómetro óptico (para determinar la turbidez de McFarland)</t>
  </si>
  <si>
    <t>Centrífuga</t>
  </si>
  <si>
    <t>Estufa de CO2</t>
  </si>
  <si>
    <t>Estufa para recargar desecantes.</t>
  </si>
  <si>
    <t>Indique si hay termómetros manuales (no digitales) dentro de cada equipo. (Marque NA si el laboratorio no tiene el equipo en cuestión).</t>
  </si>
  <si>
    <t>Estufa (para recargar desecantes)</t>
  </si>
  <si>
    <t>VIGILANCIA DE TEMPERATURAS Y ATMÓSFERAS</t>
  </si>
  <si>
    <t>Observe si se han definido claramente los rangos aceptables de temperatura mínima / máxima en las hojas de registro para las siguientes áreas / equipos y si las comprobaciones de temperatura se documentan diariamente. Marque NA si el equipo en cuestión no está en uso en el laboratorio.</t>
  </si>
  <si>
    <t>¿Se registran las temperaturas cada día que se usa?</t>
  </si>
  <si>
    <t>Neveras</t>
  </si>
  <si>
    <t>Estufas, temperatura ambiente</t>
  </si>
  <si>
    <t>¿Se verifica en las estufas de CO2 que haya niveles adecuados de CO2 y se documentan diariamente (o cada día de uso si no se usan diariamente)?</t>
  </si>
  <si>
    <t>Estándar: se deben definir rangos aceptables para todos aquello equipos que dependan de la temperatura</t>
  </si>
  <si>
    <t>¿Hay documentación de las acciones correctivas que se toman en respuesta a temperaturas fuera de rango?</t>
  </si>
  <si>
    <t>¿Se muestra en los registros que los siguientes indicadores mecánicos se anotan cada vez que se pone el autoclave? (Revise los registros para confirmar)</t>
  </si>
  <si>
    <t>¿Se muestra en los registros que los indicadores químicos (Ej., cinta sensible al calor) se usan cada vez que se pone el autoclave? (Revise los registros para confirmar)</t>
  </si>
  <si>
    <t>¿Se muestra en los registros que los indicadores biológicos (Ej., Attest u otro sistema de esporas) se utilizan para confirmar que en el autoclave se está esterilizando? (Revise los registros para confirmar). 1- Semanal, 2- Mensual, 3- Menos que mensual, 4- Sin registros</t>
  </si>
  <si>
    <t>¿Tiene el laboratorio un instrumento automatizado para realizar el hemocultivo? (indicar fabricante y modelo en comentarios)</t>
  </si>
  <si>
    <t>¿Funciona actualmente el instrumento?</t>
  </si>
  <si>
    <t>¿Hay registros de mantenimiento de rutina (usuario)?</t>
  </si>
  <si>
    <t>¿Hay registros de mantenimiento preventivo (proveedor)?</t>
  </si>
  <si>
    <t>¿Está el software actualizado?</t>
  </si>
  <si>
    <t>¿Tiene el laboratorio un instrumento automatizado para identificación bacteriana y PSA? (Ej., Vitek, Microscan, Phoenix)</t>
  </si>
  <si>
    <t>¿Tiene el laboratorio un lector automático para pruebas de difusión con discos? (Ej., SIRSCAN, BIOMIC V3, ADAGIO, etc.)</t>
  </si>
  <si>
    <t>¿El laboratorio tiene un instrumento MALDI para identificación de organismos? (Ej., Bruker, Biomerieux)</t>
  </si>
  <si>
    <t>¿Tiene el laboratorio un instrumento de PCR utilizado para detectar genes de resistencia a antibióticos? (Ej., GeneXpert)</t>
  </si>
  <si>
    <t>En los últimos 6 meses, ¿se ha interrumpido la capacidad de proporcionar servicios bacteriológicos de rutina debido al fallo prolongado de un instrumento?</t>
  </si>
  <si>
    <t>¿Existe un plan de contingencia en vigor para poder proporcionar servicios bacteriológicos de manera ininterrumpida en caso de que se prolongue el fallo de un instrumento?</t>
  </si>
  <si>
    <t>INVENTARIOS Y RUPTURAS DE STOCKS</t>
  </si>
  <si>
    <t>¿Tiene el laboratorio un sistema de control de inventario en vigor?</t>
  </si>
  <si>
    <t>En los últimos 6 meses, ¿se ha producido en el laboratorio/hospital ruptura de stock de materiales de recogida de muestras? (Ej., frascos de hemocultivo, vasos estériles, hisopos estériles)</t>
  </si>
  <si>
    <t>En los últimos 6 meses, ¿se ha producido en el laboratorio ruptura de stock de consumibles? (Ej., placas de Petri, tubos, solución salina estéril, pipetas, puntas de pipeta, asas de siembra de plástico, guantes, papel, gasas, desinfectantes)</t>
  </si>
  <si>
    <t>En los últimos 6 meses, ¿se ha producido en el laboratorio ruptura de stock de medios? (Ej., medios en polvo, sangre de oveja, otros aditivos, medios en tubos)</t>
  </si>
  <si>
    <t>En los últimos 6 meses, ¿se ha producido en el laboratorio ruptura de stock de reactivos convencionales? (Ej., oxidasa, indol, catalasa, coagulasa, etc.)</t>
  </si>
  <si>
    <t>En los últimos 6 meses, ¿se ha producido en el laboratorio ruptura de stock de discos o tiras de antibióticos?</t>
  </si>
  <si>
    <t>En los últimos 6 meses, ¿se ha producido en el laboratorio ruptura de stock de tarjetas / bandejas de identificación o PSA para los instrumentos automatizados?</t>
  </si>
  <si>
    <t>En los últimos 6 meses, ¿se ha producido en el laboratorio ruptura de stock de materiales de control o cepas de referencia?</t>
  </si>
  <si>
    <t>En los últimos 6 meses, ¿se ha producido en el laboratorio ruptura de stock de otros materiales clave?</t>
  </si>
  <si>
    <t>En los últimos 6 meses, ¿alguna ruptura de stock ha interrumpido la capacidad del laboratorio para proporcionar servicios bacteriológicos de rutina?</t>
  </si>
  <si>
    <t>En caso de que se agoten las existencias, ¿existe un plan de contingencia en vigor para proporcionar servicios bacteriológicos de manera ininterrumpida?</t>
  </si>
  <si>
    <t>Estándar: los análsis no deben interrumpirse debido al agotamiento de existencias. Los laboratorios deben explorar todas las opciones mientras se gestiona la ruptura como pedir prestado stock a otro laboratorio o derivar muestras a otro laboratorio</t>
  </si>
  <si>
    <r>
      <t xml:space="preserve">¿Están todos los medios, reactivos y </t>
    </r>
    <r>
      <rPr>
        <sz val="10"/>
        <rFont val="Calibri"/>
        <family val="2"/>
        <scheme val="minor"/>
      </rPr>
      <t xml:space="preserve">kits de análisis </t>
    </r>
    <r>
      <rPr>
        <sz val="10"/>
        <color rgb="FF000000"/>
        <rFont val="Calibri"/>
        <family val="2"/>
        <scheme val="minor"/>
      </rPr>
      <t>que se estén usando actualmente dentro de las fechas de caducidad asignadas por el fabricante? (Verificar mediante muestreo aleatorio)</t>
    </r>
  </si>
  <si>
    <t>Estándar: ninguno de los reactivos ni kits de análisis en uso, así como los que están en stock, debe sobrepasar las fechas de caducidad asignadas por el fabricante. Las existencias caducadas no deben usarse y deben documentarse antes de su eliminación.</t>
  </si>
  <si>
    <t>¿Se mantiene la estabilidad de todos los reactivos reconstituidos, como el plasma-coagulasa, desde la fecha de reconstitución? (El plasma-coagulasa expira 30 días después de la reconstitución cuando se almacena congelado).</t>
  </si>
  <si>
    <t>¿Equipamiento funcional?</t>
  </si>
  <si>
    <t>Marque "insuficiente" si la cantidad de equipos funcionales presente es insuficiente para el volumen de pruebas del laboratorio.</t>
  </si>
  <si>
    <t>MARCA/MODELO:</t>
  </si>
  <si>
    <t>2 - SISTEMA DE INFORMACIÓN DE LABORATORIO (SIL) (ELECTRÓNICO)</t>
  </si>
  <si>
    <t>La puntuación en esta sección no refleja la calidad del laboratorio sino la facildad de uso del Sistema de Información basado en ordenador y su compatibilidad potencial con los sistemas de vigilancia de RAM.</t>
  </si>
  <si>
    <t>Al exportar datos desde un Sistema de Información de Laboratorio (SIL) con el propósito de analizarlos, incluida la vigilancia de RAM, es importante que cada campo de datos esté separado</t>
  </si>
  <si>
    <t>¿Utiliza el laboratorio un Sistema de Información (SIL) basado en ordenador?</t>
  </si>
  <si>
    <t>En caso afirmativo, escriba el nombre en los comentarios. NOTA: tenga en cuenta que WHONET no es un SIL</t>
  </si>
  <si>
    <t>Observe la entrada de datos en el SIL. ¿Existen campos individuales para cada uno de los siguientes datos?</t>
  </si>
  <si>
    <t>Apellido del paciente</t>
  </si>
  <si>
    <t>Ubicación del paciente (sala o unidad en el momento de la recogida de la muestra. Ej., "UCI")</t>
  </si>
  <si>
    <t>Observe la introducción de datos en el SIL. ¿Existen campos individuales para cada uno de los siguientes datos?</t>
  </si>
  <si>
    <t>Número de identificación de la muestra</t>
  </si>
  <si>
    <t>Tipo de muestra (Ej., herida)</t>
  </si>
  <si>
    <t>Origen / sitio del cuerpo de la muestra (Ej., brazo)</t>
  </si>
  <si>
    <t>Descripciones adicionales (Ej., Izquierda, Derecha)</t>
  </si>
  <si>
    <t>Fecha de recogida de la muestra</t>
  </si>
  <si>
    <t>Fecha de recepción de la muestra</t>
  </si>
  <si>
    <t>Hora de recepción de la muestra</t>
  </si>
  <si>
    <t>CAMPOS DE DATOS DE OBSERVACIÓN DE CULTIVOS</t>
  </si>
  <si>
    <t>Observe la introducción de datos de cultivos en el SIL. ¿Existen campos individuales para cada uno de los siguientes datos?</t>
  </si>
  <si>
    <t>Tinción de Gram de la muestra (Ej., Tinción de Gram de esputo)</t>
  </si>
  <si>
    <t>Descripción de las morfologías de las colonias (Ej., "fermentador de lactosa mucoide" o "beta-hemolítico")</t>
  </si>
  <si>
    <t>Descripción de las cantidades de colonias (Ej., "1+, 2+, 3+, 4+" o "pocas, moderadas, muchas")</t>
  </si>
  <si>
    <t>Resultados de pruebas bioquímicas (Ej., "Catalasa positiva") para métodos de análisis convencionales</t>
  </si>
  <si>
    <t>Número del aislado (Ej., cuando se encuentra más de un patógeno en un cultivo: aislado #1, aislado #2)</t>
  </si>
  <si>
    <t>CAMPOS DE DATOS DE LAS PSA</t>
  </si>
  <si>
    <t>¿Puede el SIL registrar la PSA que se ha utilizado para cada resultado individual de antibiótico (Ej., Etest vs Vitek vs disco)?</t>
  </si>
  <si>
    <t>Halos de inhibición</t>
  </si>
  <si>
    <t>Interpretación de los resultados de la técnica de difusión con discos (S / I / R)</t>
  </si>
  <si>
    <t>Valores de CMI</t>
  </si>
  <si>
    <t>Interpretación de las CMI (S / I / R)</t>
  </si>
  <si>
    <t>¿Puede el SIL registrar valores de CMI con tres decimales (Ej., 0.016)?</t>
  </si>
  <si>
    <t>¿Puede el SIL suprimir (ocultar) un resultado antibiótico individual del informe del paciente sin eliminarlo de la base de datos (para informes de cascada)?</t>
  </si>
  <si>
    <t>¿Puede el software SIL interpretar automáticamente los diámetros de los halos de inhibición en Sensible, Intermedio, Resistente?</t>
  </si>
  <si>
    <t>¿Puede el software SIL interpretar automáticamente las CMIs en Sensible, Intermedio, Resistente?</t>
  </si>
  <si>
    <t>Si el software SIL interpreta automáticamente los diámetros de los halos de inhibición o CMIs, ¿se actualizan los puntos de corte anualmente?</t>
  </si>
  <si>
    <t>Si el software SIL interpreta automáticamente los diámetros de los halos de inhibición o CMIs, ¿los puntos de corte están actualizados hoy?</t>
  </si>
  <si>
    <t>¿Puede el SIL eliminar datos duplicados en función de criterios seleccionados (Ej., ID del paciente, organismo, fecha de la muestra)?</t>
  </si>
  <si>
    <t>¿Puede el SIL producir un informe acumulado de antibiograma?</t>
  </si>
  <si>
    <t>¿Puede el SIL conectar con los instrumentos automatizados de PSA (Ej., Vitek, Phoenix, SIRScan, BIOMIC)?</t>
  </si>
  <si>
    <t>¿Puede el SIL conectar con el Sistema de Información Hospitalaria (SIH)?</t>
  </si>
  <si>
    <t>¿Puede el SIL exportar listas de datos a archivos .txt o .csv?</t>
  </si>
  <si>
    <t>Si el laboratorio utiliza un instrumento automatizado de PSA, describa el flujo de datos entre el SIL y el software del instrumento.</t>
  </si>
  <si>
    <t>2: Bidireccional: la información del paciente (Ej., número de registro médico, número de muestra, tipo de muestra) fluye del SIL al software del instrumento, Y los resultados (ID y PSA) fluyen desde el software del instrumento al SIL.</t>
  </si>
  <si>
    <t>3: Unidireccional: la información del paciente fluye del SIL al software del instrumento, pero los resultados no se transmiten de vuelta al SIL</t>
  </si>
  <si>
    <t>4: Unidireccional: los resultados se transmiten desde el software del instrumento al SIL, pero la información del paciente no puede fluir desde el SIL al software del instrumento.</t>
  </si>
  <si>
    <t>¿Utiliza el hospital un Sistema de Información Hospitalaria (SIH) o un Registro médico electrónico (RME)?</t>
  </si>
  <si>
    <t>En caso afirmativo, escriba el nombre del sistema en los comentarios</t>
  </si>
  <si>
    <t>Si el SIL y el SIH/RME están conectados, describa el flujo de datos entre el LIS y el SIH/RME</t>
  </si>
  <si>
    <t>2: Bidireccional: la información del paciente (Ej., datos demográficos, órdenes de laboratorio) fluye del SIH al SIL, Y los resultados microbiológicos del paciente (ID/PSA) fluyen del SIL al SIH.</t>
  </si>
  <si>
    <t>3: Unidireccional: los datos demográficos del paciente se transmiten del SIH al SIL, pero los resultados del paciente no se transmiten al SIH</t>
  </si>
  <si>
    <t>4: Unidireccional: los resultados del paciente se transmiten desde el SIL al SIH, pero los datos demográficos del paciente no puede transmitirse desde el SIH al SIL.</t>
  </si>
  <si>
    <t>NA: sin SIL o sin SIH</t>
  </si>
  <si>
    <t>Nota: tenga en cuenta que todas las preguntas se refieren solo a muestras clínicas de pacientes, NO a muestras de investigación</t>
  </si>
  <si>
    <t>¿Se les asigna a los pacientes que ingresan en el hospital un único número de identificación?</t>
  </si>
  <si>
    <t>¿Se les asigna a los pacientes ambulatorios un único número de identificación al registrarse en la clínica de salud?</t>
  </si>
  <si>
    <t>¿Se asignan los números de identificación de paciente de tal manera que no se pueda dar el mismo número a dos pacientes diferentes en el transcurso de un mismo año?</t>
  </si>
  <si>
    <t>¿Los pacientes conservan el mismo número de identificación cada vez que ingresan en el hospital?</t>
  </si>
  <si>
    <t>¿Utiliza el laboratorio los mismos números de identificación de paciente asignados por el hospital o las clínicas?</t>
  </si>
  <si>
    <t>¿El laboratorio asigna un número de identificación de muestra único para cada muestra recibida en el laboratorio?</t>
  </si>
  <si>
    <t>¿Se asignan los números de muestra de tal manera que no se les de el mismo número a dos muestras diferentes en el transcurso de un mismo un año?</t>
  </si>
  <si>
    <t>Revise el formulario de solicitud de muestra. ¿Existen campos individuales para cada uno de los siguientes datos?</t>
  </si>
  <si>
    <t>Origen de la muestra / sitio del cuerpo (Ej., brazo)</t>
  </si>
  <si>
    <t>Hora de recogida de la muestra</t>
  </si>
  <si>
    <t>Orden de las pruebas (Ej., cultivo y PSA)</t>
  </si>
  <si>
    <t>Revise el proceso de recepción de muestras/recepción de envíos. ¿Se recogen cada una de las siguientes variables en el libro de registro o en el sistema informático?</t>
  </si>
  <si>
    <t>Ubicación del paciente (sala o unidad al momento de la recogida de la muestra.Ej., "UCI")</t>
  </si>
  <si>
    <t>La tarjeta de trabajo es donde se registran las observaciones deL cultivo y los resultados de las pruebas bioquímicas. Las tarjetas de trabajo pueden ser en papel o electrónicas.</t>
  </si>
  <si>
    <t>Revise la tarjeta de trabajo de un cultivo hecho recientemente. ¿Se registran los siguientes elementos?</t>
  </si>
  <si>
    <t>Tinción de Gram de colonias bacterianas (cocos gram positivos, bacilos gram negativos, etc.)</t>
  </si>
  <si>
    <t xml:space="preserve">Resultados de pruebas bioquímicas convencionales (Ej., "Catalasa positiva") </t>
  </si>
  <si>
    <t>PSA utilizada para cada antibiótico (Ej., Disco, Etest, Instrumento)</t>
  </si>
  <si>
    <t>Interpretación de la técnica de difusión con discos (S / I / R)</t>
  </si>
  <si>
    <t>Interpretación de CMI (S / I / R)</t>
  </si>
  <si>
    <t>Describir el sistema de laboratorio para registrar observaciones de los cultivos.</t>
  </si>
  <si>
    <t>1: Sistema de información de laboratorio (SIL)</t>
  </si>
  <si>
    <t>2: completamente electrónico, pero no SIL (Ej., Word, Excel)</t>
  </si>
  <si>
    <t>3: Escrito a mano en una tarjeta de trabajo en papel (Ej., el reverso de la solicitud de muestra) o en un libro de registro</t>
  </si>
  <si>
    <t>4: combinación de registro manual y electrónico</t>
  </si>
  <si>
    <t>¿Se conservan las observaciones de cultivos/ tarjetas de trabajo durante un período de tiempo definido (al menos un año)?</t>
  </si>
  <si>
    <t>Describa el sistema del laboratorio para informar de los resultados de las PSA al médico / cliente.</t>
  </si>
  <si>
    <t>1: Sistema completamente electrónico: el médico no recibe ningún papel del laboratorio</t>
  </si>
  <si>
    <t>Si los resultados de las PSA se emiten total o parcialmente a los médicos en papel, describa ese sistema.</t>
  </si>
  <si>
    <t>1: Impresión desde el Sistema de Información del Laboratorio</t>
  </si>
  <si>
    <t>2: Impresión desde el instrumento ID/PSA (Ej., Vitek, Phoenix, etc.)</t>
  </si>
  <si>
    <t>3: Impresión desde un programa de ordenador que no sea SIL (Ej., Word, Excel)</t>
  </si>
  <si>
    <t>¿Se retienen los informes de las PSA por un período de tiempo definido (al menos un año)?</t>
  </si>
  <si>
    <t>¿Qué método se utiliza en el laboratorio para hacer una copia de seguridad de los registros electrónicos de los pacientes?</t>
  </si>
  <si>
    <t>1: instalación o servidor en la nube - 2: disco duro externo, USB o CD - 3: disco duro interno (PC u ordenador portátil) - 4: ninguno - NA: no se utiliza una base de datos electrónica para registros de pacientes</t>
  </si>
  <si>
    <t>¿Con qué frecuencia se hace una copia de seguridad de los registros electrónicos del laboratorio?</t>
  </si>
  <si>
    <t>¿Tienen el laboratorio o el centro una política y / o POE sobre copias de seguridad y restauración de los datos?</t>
  </si>
  <si>
    <t>¿Tienen el laboratorio o el centro una política y / o POE sobre seguridad y confidencialidad de los datos?</t>
  </si>
  <si>
    <t>¿Tienen los ordenadores de laboratorio software antivirus?</t>
  </si>
  <si>
    <t>¿Tienen los ordenadores de laboratorio sistemas operativos originales (no pirateados)?</t>
  </si>
  <si>
    <t>¿Es actualmente el laboratorio miembro de algún sistema de vigilancia de RAM?</t>
  </si>
  <si>
    <t>Sistema mundial de vigilancia de la resistencia a los antimicrobianos (GLASS) de la OMS</t>
  </si>
  <si>
    <t>¿Cuál de los siguientes métodos se utiliza actualmente para enviar datos a las redes de vigilancia de RAM?</t>
  </si>
  <si>
    <t>Se puede usar más de uno. Si el laboratorio no participa actualmente en la vigilancia de RAM seleccione NA</t>
  </si>
  <si>
    <t>El laboratorio envía formularios en papel a un coordinador de RAM</t>
  </si>
  <si>
    <t>El laboratorio introduce los datos en una hoja de cálculo de Excel</t>
  </si>
  <si>
    <t>El laboratorio introduce los datos en una base de datos online</t>
  </si>
  <si>
    <t>El laboratorio introduce los datos en WHONET</t>
  </si>
  <si>
    <t>El laboratorio exporta un archivo desde el instrumento automatizado de PSA</t>
  </si>
  <si>
    <t>El laboratorio exporta un archivo desde el SIL</t>
  </si>
  <si>
    <t>Si el laboratorio alguna vez usó BacLink para transferir datos del SIL a WHONET, ¿se encontró alguno de los siguientes problemas?</t>
  </si>
  <si>
    <t>Al archivo exportado desde el SIL le faltaban algunos de los campos de datos requeridos</t>
  </si>
  <si>
    <t>El archivo exportado desde el SIL fusionó / ​​combinó diferentes campos de datos en una sola columna</t>
  </si>
  <si>
    <t>El archivo exportado desde el SIL no distingue los resultados de antibióticos de la PSA</t>
  </si>
  <si>
    <t>El archivo exportado desde el SIL no contiene los diámetros de los halos de inhibición o valores de CMI</t>
  </si>
  <si>
    <t>Si el laboratorio alguna vez usó BacLink para transferir datos del instrumento automatizado de PSA a WHONET, ¿se encontró alguno de los siguientes problemas?</t>
  </si>
  <si>
    <t>Al archivo exportado del instrumento le faltaban algunos de los campos de datos requeridos (como datos demográficos del paciente)</t>
  </si>
  <si>
    <t>El archivo exportado del instrumento fusionó / ​​combinó diferentes campos de datos en una sola columna</t>
  </si>
  <si>
    <t>Al archivo exportado del instrumento le faltaban valores de CMI</t>
  </si>
  <si>
    <t>Al archivo exportado del instrumento le faltaban valores S-I-R</t>
  </si>
  <si>
    <t>ESTRUCTURA DE CALIDAD / BÁSICOS</t>
  </si>
  <si>
    <t>¿El laboratorio tiene un encargado de calidad nombrado oficialmente?</t>
  </si>
  <si>
    <t>¿Hay un Punto Focal de Calidad en bacteriología, colaborando con el Encargado de Calidad?</t>
  </si>
  <si>
    <t>¿Hay documentación que demuestre que los Encargados de Calidad y los Puntos Focales han recibido la formación adecuada en Sistemas de Gestión de Calidad (SGC)?</t>
  </si>
  <si>
    <t>1: Sí - 2: Algunos, pero quisiera formación adicional - 3: Ninguna formación documentada</t>
  </si>
  <si>
    <t>¿Con qué frecuencia un Supervisor o Encargado de Calidad revisa los resultados de Control de Calidad de Medios, de Identificación y de PSA?</t>
  </si>
  <si>
    <t>¿Existe documentación que demuestre que el Supervisor / Encargado de Calidad recibió formación sobre cómo solucionar eficazmente los fallos en el CC?</t>
  </si>
  <si>
    <t>¿Revisa un Supervisor o persona designada los resultados positivos de los cultivos todos los días?</t>
  </si>
  <si>
    <t>¿Existen pautas escritas que indiquen quién está autorizado a modificar resultados de laboratorio erróneos después de que se hayan notificado?</t>
  </si>
  <si>
    <t>Cuando se realizan correcciones a los resultados de un paciente, ¿qué se hace con el resultado erróneo?</t>
  </si>
  <si>
    <t>1: los resultados erróneos se mantienen  en su lugar pero se modifican para reflejar que son erróneos - 2: los resultados erróneos se eliminan del registro - 3: otros (explique en los comentarios)</t>
  </si>
  <si>
    <t>EDUCACIÓN / FORMACIÓN / COMPETENCIAS DEL PERSONAL DEL LABORATORIO</t>
  </si>
  <si>
    <t>¿Tiene al menos el 50% del personal técnico educación oficial en microbiología o análisis clínicos? (Consulte la figura en la columna D)</t>
  </si>
  <si>
    <t>¿Cuenta el laboratorio con suficiente personal para proporcionar servicios de alta calidad? (Incluyendo personal de apoyo).</t>
  </si>
  <si>
    <t>¿Tiene el laboratorio un proceso estandarizado para formar a nuevos empleados?</t>
  </si>
  <si>
    <t>¿Tiene el laboratorio documentación actualizada que muestre en qué poyatas y en qué tipo de pruebas se formó y aprobó a cada miembro del personal para trabajar de manera independiente? (Revise dichos registros)</t>
  </si>
  <si>
    <t>Hemocultivo</t>
  </si>
  <si>
    <t>Urocultivo</t>
  </si>
  <si>
    <t>Cultivo de heridas</t>
  </si>
  <si>
    <t>Estándar: se debe evaluar la competencia del personal de laboratorio recién contratado antes de trabajar de manera independiente y nuevamente a los seis meses. Todo el personal del laboratorio debe ser evaluado regularmente para evaluar su competencia al menos una vez al año. El personal asignado a una nueva sección debe ser evaluado antes de asumir funciones en las que vaya a trabajar de manera independiente. Cuando se observen deficiencias, el reciclaje y la reevaluación deben planificarse y documentarse. Si la competencia del empleado permanece por debajo del estándar, una acción adicional debería incluir la supervisión ​​del trabajo, la reasignación de funciones u otras acciones apropiadas. Los registros de las evaluaciones de competencia y las acciones resultantes deben conservarse en archivos de personal y / o registros de calidad. Los registros deben mostrar qué habilidades se evaluaron, cómo se midieron esas habilidades y quién realizó la evaluación.</t>
  </si>
  <si>
    <t>¿Se realiza un análisis de causa-raíz cuando se obtienen resultados de CC inaceptables? (Solicitar ver un ejemplo reciente)</t>
  </si>
  <si>
    <t>¿Está documentada la acción correctiva basada en los hallazgos del análisis de causa-raíz?</t>
  </si>
  <si>
    <t>¿Hay evidencia de que el Supervisor o el Encargado de Calidad ha recibido la formación adecuada sobre cómo realizar un análisis de causa-raíz de fallos en el CC?</t>
  </si>
  <si>
    <t>1: Sí - 2: Algunos, pero quisiera formación adicional - 3: No</t>
  </si>
  <si>
    <t>¿Se notifican los resultados de los pacientes si no se realizó el CC de los medios, del método de identificación o del método PSA?</t>
  </si>
  <si>
    <t>¿Se notifican los resultados de los pacientes si el CC de los medios, del método de identificación o del método PSA no dieron resultados aceptables?</t>
  </si>
  <si>
    <t>¿Hay evidencia de que el laboratorio resuelve los resultados inaceptables del CC para medios, reactivos, sistemas de identificación y métodos PSA?</t>
  </si>
  <si>
    <t>Si se utilizan instrumentos automatizados para la identificación (Ej., Vitek, Phoenix, Microscan), ¿hay algún manual de usuario o POE que describa cómo solucionar los problemas del instrumento?</t>
  </si>
  <si>
    <t>Marque NA si el laboratorio no usa un instrumento automatizado</t>
  </si>
  <si>
    <t>¿Cuántas veces al año recibe actualmente el laboratorio un EQA / PT (Proficiency Testing) que incluyan tanto la identificación bacteriana como PSA? (No incluya aquellos EQA / PT enfocados en un solo organismo, por ejemplo, TB o N.gonorrhoeae)</t>
  </si>
  <si>
    <t>Si el laboratorio no participa en un programa EQA, ¿cuál es el motivo? (Informativo, no se puntua)</t>
  </si>
  <si>
    <t>¿Está  el proveedor de EQA /PT acreditado con ISO-17043?</t>
  </si>
  <si>
    <t>Enumere los proveedores en los comentarios.</t>
  </si>
  <si>
    <t>¿Se utilizan las mismas pruebas en los aislados de los EQA y en los aislados de rutina de muestras de pacientes?</t>
  </si>
  <si>
    <t>¿Realiza alguna vez el laboratorio pruebas adicionales en un aislado de EQA en comparación con lo que se realizaría normalmente en un aislado de paciente?</t>
  </si>
  <si>
    <t>¿Alguna vez el laboratorio envía aislados de EQA a otro laboratorio para su confirmación antes de enviar los resultados?</t>
  </si>
  <si>
    <t>¿Alguna vez el laboratorio llama a otro laboratorio para preguntar cuál fue su resultado de EQA antes de enviar los resultados?</t>
  </si>
  <si>
    <t>¿Se prueban las muestras de PT / EQA por el mismo personal que realiza pruebas con muestras de pacientes? (Busque evidencia de que todo el personal participa en los PT / EQA, no solo los supervisores o el personal senior)</t>
  </si>
  <si>
    <t>En promedio, ¿cuánto tiempo tiene que esperar el laboratorio antes de recibir los resultados de su desempeño en el PT / EQA?</t>
  </si>
  <si>
    <t>Si las puntuaciones no están disponibles para revisión, seleccione "Ninguno"</t>
  </si>
  <si>
    <t>¿Se realiza un análisis de causa-raíz cuando se obtienen resultados inaceptables de PT / EQA? (Solicitar ver un ejemplo reciente)</t>
  </si>
  <si>
    <t>¿Existe evidencia de que el Supervisor o el Encargado de Calidad ha recibido la formación adecuada sobre cómo realizar un análisis de causa-raíz para fallos en el EQA?</t>
  </si>
  <si>
    <t>¿Se notifica al responsable del laboratorio todos los resultados inaceptables del EQA tan pronto como se reciben?</t>
  </si>
  <si>
    <t>¿Se han implementado POEs específicos para cada tipo de medio que se reconstituya en el laboratorio?</t>
  </si>
  <si>
    <t>¿Incluyen todos los registros de preparación de medios los siguientes datos?</t>
  </si>
  <si>
    <t>Nombre de la persona que lo prepara</t>
  </si>
  <si>
    <t>Observe los medios que se reconstituyen en el laboratorio, ¿está cada lote claramente etiquetado con los siguientes datos?</t>
  </si>
  <si>
    <t>¿Se preparan los medios en una habitación separada del sitio donde se procesan las muestras y los cultivos?</t>
  </si>
  <si>
    <t>¿Se preparan los medios en una sala limpia?</t>
  </si>
  <si>
    <t>¿Se mezclan las suspensiones de los medios con una barra de agitación magnética mientras se hierven?</t>
  </si>
  <si>
    <t>¿Se enfría la suspensión autoclavada a 45-50 ° C antes de agregar compuestos adicionales (por ejemplo, sangre)?</t>
  </si>
  <si>
    <t>¿Cuál es el origen de la sangre utilizada para hacer las placas de agar sangre, chocolate y / o MHB?</t>
  </si>
  <si>
    <t>1: sangre de oveja - 2: sangre humana (Ej., de glóbulos rojos empacados caducados) - 3: otro origen (por favor describa en los comentarios)</t>
  </si>
  <si>
    <t>¿Se registra el pH para todos los medios preparados en el laboratorio?</t>
  </si>
  <si>
    <t>¿Se almacenan a 2-8 ° C todos los medios preparados hasta su uso?</t>
  </si>
  <si>
    <t>Si el laboratorio o el centro produce su propia agua destilada o desionizada, ¿hay registros de CC para lo siguiente?</t>
  </si>
  <si>
    <t>Si el laboratorio compra agua destilada o desionizada, ¿viene con un Certificado de Análisis que demuestre que el pH, la esterilidad y la conductimetría son los adecuados?</t>
  </si>
  <si>
    <t>¿Se muestra en los registros que se realiza el CC en cada nuevo lote que se reconstituye o en cada nuevo número de lote / pedido de medio?</t>
  </si>
  <si>
    <t>¿Se muestra en los registros de CC de las placas de agar sangre que se verifica su capacidad para crecer organismos fastidiosos como Streptococcus pneumoniae?</t>
  </si>
  <si>
    <t>Los agares MacConkey (MAC) y Eosina azul de metileno (EMB, por sus siglas en inglés) contienen sales biliares y / o colorantes que son tóxicos para las bacterias Gram positivas cuando se hacen correctamente. ¿Se muestra en los registros de CC de las placas MAC y / o EMB que en cada lote  se inocula un organismo Gram positivo como control?</t>
  </si>
  <si>
    <t>Los colorantes y los indicadores de pH en las placas MAC y EMB proporcionan un indicador de color para distinguir entre los organismos Gram negativos fermentadores de lactosa (FL) y no fermentadores de lactosa (NFL). ¿Se muestra en los registros de CC de las placas MAC y / o EMB que en cada lote se inoculan organismos tanto FL como NFL como control?</t>
  </si>
  <si>
    <t>¿Se muestra en los registros de CC de las placas de agar selectivas para heces (Ej., XLD, SS, HE) que se verifica su capacidad para suprimir el crecimiento de organismos Gram positivos?</t>
  </si>
  <si>
    <t>¿Se muestra en los registros de CC de las placas de agar selectivas para heces que se verifica su capacidad para hacer visibles los subproductos ácidos de la fermentación de carbohidratos utilizando fermentadores y no fermentadores?</t>
  </si>
  <si>
    <t>Estándar: CAP MIC.21300; SANAS TG 28-02: 6.1 Para asegurar el rendimiento adecuado de los medios de cultivo, diluyentes y otras suspensiones preparadas in-house en el laboratorio debe verificarse, cuando corresponda, la recuperación o la supervivencia de los organismos diana , la inhibición o la supresión de organismos no diana, y asegurar el mantenimiento de las propiedades bioquímicas (diferenciales y de diagnóstico) y propiedades físicas (Ej. pH, volumen y esterilidad).</t>
  </si>
  <si>
    <t>Examine las placas Mueller Hinton del laboratorio y su POE para lo siguiente:</t>
  </si>
  <si>
    <t>¿Agrega el laboratorio cationes de calcio o magnesio al agar dMHA?</t>
  </si>
  <si>
    <t>¿Tienen las placas una profundidad uniforme de aproximadamente 4 mm? Verifique examinando un lote reciente.</t>
  </si>
  <si>
    <t>¿Muestran los registros que el pH es 7.2 - 7.4 para cada lote?</t>
  </si>
  <si>
    <t>¿Se indica en los registros que se verifica la esterilidad para cada lote? (Incubando una porción de placas no inoculadas, idealmente un 5%)</t>
  </si>
  <si>
    <t>¿Se indica en los registros de CC que en cada lote de agar Mueller Hinton se verifica su capacidad de producir los diámetros de los halos de inhibición esperados utilizando las siguientes cepas ATCC de referencia y antibióticos?</t>
  </si>
  <si>
    <t>Enterococcus faecalis 29212 o 33186 y disco de trimetoprim-sulfametoxazol</t>
  </si>
  <si>
    <t>Marque NA si el laboratorio no usa agar MHB</t>
  </si>
  <si>
    <t>¿Prepara el laboratorio frascos de hemocultivo in-house?</t>
  </si>
  <si>
    <t>¿Qué caldo base se usa? (El caldo debe poder crecer una amplia gama de especies bacterianas)</t>
  </si>
  <si>
    <t>¿Se agrega el Polianetol Sulfonato de Sodio (SPS)? (un anticoagulante y estabilizador del crecimiento)</t>
  </si>
  <si>
    <t>¿Se dispensan 50 ml de caldo en frascos estériles para pacientes adultos? (Relación 1: 5 sangre: caldo)</t>
  </si>
  <si>
    <t>¿Se dispensan 25 ml de caldo en frascos estériles para pacientes pediátricos? (Relación 1: 5 sangre: caldo)</t>
  </si>
  <si>
    <t>Indican los registros de CC de los frascos de hemocultivo los siguientes datos:</t>
  </si>
  <si>
    <t>Verificación de la esterilidad incubando una porción de frascos no inoculados (Idealmente 5%)</t>
  </si>
  <si>
    <t>Capacidad para crecer Streptococcus pneumoniae</t>
  </si>
  <si>
    <t>Capacidad para crecer Haemophilus influenzae</t>
  </si>
  <si>
    <t>Cuando se aproxima la fecha de caducidad, ¿se repite el CC en algunos frascos para confirmar la estabilidad del caldo a largo plazo ?</t>
  </si>
  <si>
    <t>¿Los frascos no utilizados están etiquetados correctamente (nombre, número de lote, fecha de producción y fecha de caducidad)?</t>
  </si>
  <si>
    <t>¿Se realiza el CC y se registran los resultados en cada nueva preparación o con cada nuevo lote de reactivos para la tinción de gram?</t>
  </si>
  <si>
    <t>Estándar: CAP MIC.21540, MIC.21624 Para cada nuevo lote de tinción (tinciones de Gram, tinciones especiales y fluorescentes) se deben verificar todos los procedimientos de tinción y registrar los resultados.</t>
  </si>
  <si>
    <t>¿Se realiza el CC de la tinción de Gram utilizando organismos de control tanto positivos como negativos?</t>
  </si>
  <si>
    <t>Fecha de preparación / reconstitución (si corresponde, ej., coagulasa)</t>
  </si>
  <si>
    <t>¿Se almacenan los medios en tubos, reactivos y kits a las temperaturas indicadas por el fabricante?</t>
  </si>
  <si>
    <t>NOTA: Esta pregunta se aplica solo a los medios en tubo y reactivos líquidos en uso por el laboratorio.</t>
  </si>
  <si>
    <t>¿Se muestra en los registros de CC lo siguiente? Si no se usa reactivo, marque NA</t>
  </si>
  <si>
    <t>El CC se realiza utilizando cepas ATCC o derivadas de ATCC</t>
  </si>
  <si>
    <t>Disco de Optoquina (disco "P")</t>
  </si>
  <si>
    <t xml:space="preserve">Aglutinación de látex para Strep pneumo </t>
  </si>
  <si>
    <t xml:space="preserve">Agar Hierro-Triple-Azúcar o agar de Hierro de Kligler  </t>
  </si>
  <si>
    <t>Estándar: CAP MIC.21624 Los controles positivos y negativos deben ser usados y registrados en todos los procedimientos diferenciales. Los controles deben realizarse y registrarse en los intervalos periódicos específicos enumerados para las pruebas.</t>
  </si>
  <si>
    <t xml:space="preserve">Indique si se realizan los siguientes aspectos del CC en los reactivos usados para la serología de Salmonella y / o Shigella </t>
  </si>
  <si>
    <t>Si no se realizan pruebas serológicas, marque NA.</t>
  </si>
  <si>
    <t>Serogrupo de Shigella</t>
  </si>
  <si>
    <t>Revise los registros de CC de los kits comerciales de identificación de organismos (Ej., API, Liofilchem, RapID)</t>
  </si>
  <si>
    <t>Marque NA si el laboratorio no utiliza ningún kit comercial de prueba para identificación de organismos</t>
  </si>
  <si>
    <t>¿Se realiza el CC en cada nuevo número de lote / pedido antes de que los kits se pongan en uso, de acuerdo con las recomendaciones del fabricante?</t>
  </si>
  <si>
    <t>¿Se realiza el CC utilizando cepas ATCC o derivadas de ATCC?</t>
  </si>
  <si>
    <t>1: se utilizan todas las cepas recomendadas; 2: se utilizan algunas de las cepas recomendadas ; 3: No se utiliza ninguna de las cepas de referencia recomendadas; N / A</t>
  </si>
  <si>
    <t>Revise los registros de CC de las tarjetas / bandejas de identificación utilizadas con instrumentos de identificación automatizados (Ej., Vitek, Phoenix, Microscan, etc.). Marque NA si el laboratorio no utiliza sistemas automatizados para identificación de organismos</t>
  </si>
  <si>
    <t>¿Se realiza el CC en cada nuevo número de lote / pedido de tarjetas / bandejas de identificación antes de su uso?</t>
  </si>
  <si>
    <t>7- CONTROL DE CALIDAD - MÉTODOS DE PSA</t>
  </si>
  <si>
    <t>¿Tiene el laboratorio las siguientes cepas de referencia ATCC en stock? (También se muestran los CIP equivalentes)</t>
  </si>
  <si>
    <t>Enterococcus faecalis ATCC 29212 / CIP 103214 (para evaluar la idoneidad de MHA para las pruebas de trimetoprim-sulfonamida)</t>
  </si>
  <si>
    <t>¿Cómo se almacenan las cepas de referencia:?</t>
  </si>
  <si>
    <t>Cepas de referencia (estado liofilizado, del fabricante) mantenidas a &lt;-20 ° C</t>
  </si>
  <si>
    <t>Stocks de referencia o cepas de reserva  (preparaciones de caldo de cultivos de referencia) mantenidas a &lt;-20 ° C en un estabilizador adecuado (10% -15% de glicerol en caldo de soja tríptico, suero fetal bovino al 50% en caldo, sangre desfibrinada de oveja o leche descremada)</t>
  </si>
  <si>
    <t>Cepas de trabajo mensuales, o "F1", almacenadas a 2-8 ° C hasta un máximo de 4 semanas y luego desechadas</t>
  </si>
  <si>
    <t>Cepas de trabajo semanales, o "F2", almacenadas a 2-8 ° C hasta un máximo de 1 semana y luego desechadas</t>
  </si>
  <si>
    <t>Subcultivo diario, o "F3", desechado después de un día de uso.</t>
  </si>
  <si>
    <t>Estándar: SANAS TG 28-02: 7.2.2 Una cepa de referencia es una preparación cuyos microorganismos se obtienen a partir de una colección de cultivos tipo como ATCC. Un stock de de referencia o cepa de reserva es una preparación de microorganismos derivada de una cepa de referencia. Una cepa de trabajo es un subcultivo obtenido a partir de una cepa de reserva. Un subcultivo es la transferencia de microorganismos ya crecidos y establecidos en un medio a un medio fresco.</t>
  </si>
  <si>
    <t>¿Tiene el laboratorio en stock las siguientes cepas de referencia? (También se muestran los CIP equivalentes)</t>
  </si>
  <si>
    <t>Enterococcus faecalis ATCC 51299 / CIP 104676 (vanB positivo, ERV)</t>
  </si>
  <si>
    <t>E. coli ATCC 13353 (CTX-M-15 BLEE positivo)</t>
  </si>
  <si>
    <t>Se ha demostrado que algunas cepas para CC con resistencia mediada por plásmidos pierden el plásmido cuando se almacenan a temperaturas superiores a -60 ° C</t>
  </si>
  <si>
    <t>¿Se mantienen estas cepas de referencia para PSA  especiales a &lt;-60 ° C?</t>
  </si>
  <si>
    <t>¿El laboratorio realiza la técnica de difusión con discos?</t>
  </si>
  <si>
    <t>¿Se realiza el CC del disco con antibiótico antes de utilizar los nuevos números de lote / pedidos? (Revise los registros de CC para confirmar)</t>
  </si>
  <si>
    <t>CLSI y EUCAST requieren que todo el CC de los antibióticos se realice cada día que se hagan pruebas en muestras de pacientes, no solo cuando se recibe un nuevo número de lote.</t>
  </si>
  <si>
    <t>Los laboratorios que deseen reducir de diaria a semanal la frecuencia del CC de los antibióticos pueden hacerlo después de haber demostrado un rendimiento satisfactorio con el CC diario utilizando uno de los dos planes descritos en CLSI M02, sección 4.7. Ya sea el plan de 20-30 días o el plan de 15 réplicas.</t>
  </si>
  <si>
    <t>¿Existe documentación que demuestre que el laboratorio ha completado con éxito el plan de 20-30 días o el plan de 15 repeticiones (3- x 5 días) para todos los discos con antibióticos en uso? (Solicitar ver)</t>
  </si>
  <si>
    <t>Sin incluir el CC de un nuevo lote, ¿con qué frecuencia se realiza el CC del disco con antibiótico? (Confirme revisando los registros de CC; retroceda varios meses)</t>
  </si>
  <si>
    <t>1: Cada día que se realizan PSA con discos en muestras de pacientes - 2: Semanal - 3: Semanas alternas - 4: Mensual - 5: Otro (describir en comentarios) - NA: no se utiliza el método de disco</t>
  </si>
  <si>
    <t>¿Se realiza el CC del disco con antibiótico utilizando las cepas de referencia ATCC recomendadas a continuación? (Revise los registros de CC para confirmar)</t>
  </si>
  <si>
    <t>¿Utiliza el laboratorio la PSA de tira de gradiente (Etest / Liofilechem)? (sin clasificar)</t>
  </si>
  <si>
    <t>Si no, responda NA hasta la 7.40</t>
  </si>
  <si>
    <t>¿Se realiza el CC de la tira de gradiente antes de utilizar los nuevos números de lote / pedidos? (Revise los registros de CC para confirmar)</t>
  </si>
  <si>
    <t>¿Existe documentación que demuestre que el laboratorio ha completado con éxito el plan de 20-30 días o el plan de 15 repeticiones (3- x 5 días) para todas las tiras de antibióticos en uso? (Solicitar ver)</t>
  </si>
  <si>
    <t>Sin incluir el nuevo CC de un nuevo lote, ¿con qué frecuencia se realiza el CC de la tira antibiótica? (Confirme revisando los registros de CC; retroceda varios meses)</t>
  </si>
  <si>
    <t>1: Cada día que se realiza una PSA de tira en muestras de pacientes - 2: Semanal - 3: Semanas alternas - 4: Mensual - 5: Otro (describir en comentarios) - NA: no se utiliza el método de tira</t>
  </si>
  <si>
    <t>¿Se realiza el CC de la tira antibiótica usando las cepas de referencia ATCC recomendadas a continuación? (Revise los registros de CC para confirmar)</t>
  </si>
  <si>
    <r>
      <t>¿Utiliza el laboratorio un instrumento automatizad</t>
    </r>
    <r>
      <rPr>
        <sz val="10"/>
        <rFont val="Calibri"/>
        <family val="2"/>
        <scheme val="minor"/>
      </rPr>
      <t>o de PSA</t>
    </r>
    <r>
      <rPr>
        <sz val="10"/>
        <color rgb="FF000000"/>
        <rFont val="Calibri"/>
        <family val="2"/>
        <scheme val="minor"/>
      </rPr>
      <t>? (Ej., Vitek, Phoenix, Microscan, etc.)</t>
    </r>
  </si>
  <si>
    <t>¿Se almacenan las tarjetas / bandejas de antibióticos a las temperaturas recomendadas por el fabricante?</t>
  </si>
  <si>
    <t>¿Se realiza el CC de las tarjetas / bandejas de antibióticos antes de utilizar nuevos números de lote / pedidos? (Revise los registros de CC para confirmar)</t>
  </si>
  <si>
    <t>¿Existe documentación que demuestre que el laboratorio ha completado con éxito el plan de 20-30 días o el plan de 15 réplicas (3 x 5 días) para todas las tarjetas / bandejas de antibióticos en uso?  (Solicitar ver)</t>
  </si>
  <si>
    <t>Sin incluir el CC de un nuevo lote, ¿con qué frecuencia se realiza el CC de la tarjeta / bandeja de antibióticos? (Confirme revisando los registros de CC; retroceda varios meses)</t>
  </si>
  <si>
    <t>1: Cada día que se realiza la PSA automatizada con muestras de pacientes - 2: Semanal - 3: Semanas alternas - 4: Mensual - 5: Otro (describir en comentarios) - NA: no se utiliza un método automatizado</t>
  </si>
  <si>
    <r>
      <t xml:space="preserve">¿Se realiza el CC de los sistemas automatizados </t>
    </r>
    <r>
      <rPr>
        <sz val="10"/>
        <rFont val="Calibri"/>
        <family val="2"/>
        <scheme val="minor"/>
      </rPr>
      <t xml:space="preserve">de PSA </t>
    </r>
    <r>
      <rPr>
        <sz val="10"/>
        <color rgb="FF000000"/>
        <rFont val="Calibri"/>
        <family val="2"/>
        <scheme val="minor"/>
      </rPr>
      <t>utilizando las cepas de referencia ATCC recomendadas a continuación? (Revise los registros de CC para confirmar)</t>
    </r>
  </si>
  <si>
    <t>Nota: tenga en cuenta que todas las preguntas se refieren solo a muestras clínicas de pacientes, NO a muestras de investigación o ambientales</t>
  </si>
  <si>
    <t>¿Requiere la política de laboratorio que todas las muestras estén acompañadas de un formulario de solicitud de pruebas aprobado por laboratorio?</t>
  </si>
  <si>
    <t>¿Aplica el laboratorio un sistema de doble identificador? (Ej., deben estar presentes tanto el nombre del paciente como un identificador numérico en el formulario y en la muestra).</t>
  </si>
  <si>
    <t>¿Se procesan las muestras sensibles en menos de una hora trás haber llegado al laboratorio?</t>
  </si>
  <si>
    <t>Cuando el laboratorio de bacteriología está cerrado, ¿hay otro laboratorio que procese (siembre en placa) las muestras o que se asegure de que se almacenan a las temperaturas adecuadas? (Seleccione NA si el laboratorio de bacteriología no cierra)</t>
  </si>
  <si>
    <t>¿Se almacenan correctamente las muestras en el laboratorio antes y después de las pruebas?</t>
  </si>
  <si>
    <t>Coprocultivo</t>
  </si>
  <si>
    <t>Cultivo genital</t>
  </si>
  <si>
    <t>Estándar: ISO 15189: 5.4.1, 5.4.5, 5.4.7, 5.4.8, 5.4.10, 5.4.11, 5.4.13 Estándar: ISO 15189: 5.2.9, 5.4.14, 5.7.3 Las muestras deben ser almacenadas con las condiciones adecuadas para garantizar la estabilidad de la muestra. Las muestras que ya no se requieran deben eliminarse de manera segura, de acuerdo con las normas de bioseguridad</t>
  </si>
  <si>
    <t>¿Se rechazan las muestras que no estén etiquetadas?</t>
  </si>
  <si>
    <t>¿Se rechazan las muestras con derrames?</t>
  </si>
  <si>
    <t>Cuando se rechazan las muestras, ¿notifica de inmediato el laboratorio al hospital o a la clínica para que se pueda recoger una nueva muestra?</t>
  </si>
  <si>
    <t>¿Proporciona el laboratorio instrucciones/POEs de la recogida de muestras para hemocultivos a las areas de recogida de muestras de pacientes?</t>
  </si>
  <si>
    <t>¿Proporciona el laboratorio (u otro departamento) formación anual al personal clínico sobre la toma de muestras para hemocultivos?</t>
  </si>
  <si>
    <t>Preparación del tapón con antiséptico e inoculación aséptica en los frascos.</t>
  </si>
  <si>
    <t>Volumen mínimo para adultos (generalmente 10-15 ml por frasco)</t>
  </si>
  <si>
    <t>Volumen mínimo para niños (generalmente 5-10 ml por frasco)</t>
  </si>
  <si>
    <t>Volumen mínimo para neonatos (generalmente 0.5-1mL por frasco)</t>
  </si>
  <si>
    <t>¿Exige la política de laboratorio que se recojan dos frascos de hemocultivos?</t>
  </si>
  <si>
    <t>¿Especifica la política si cada hemocultivo debe obtenerse a partir de un sitio diferente de venopunción?</t>
  </si>
  <si>
    <t>Etiquetado adecuado del frasco (nombre del paciente, identificación, fecha, hora, sitio de venopunción)</t>
  </si>
  <si>
    <t>Transporte de los frascos al laboratorio en el plazo de una hora tras la recogida de la muestra.</t>
  </si>
  <si>
    <t>Si se retrasa el transporte, almacene los frascos para sistemas automatizados a temperatura ambiente; almacenar los frascos para sistemas manuales a 37 ° C.</t>
  </si>
  <si>
    <t>¿Proporciona el laboratorio instrucciones/POEs de la recogida de muestras para urocultivos a las áreas de recogida de muestras de pacientes?</t>
  </si>
  <si>
    <t>¿Proporciona el laboratorio (u otro departamento) formación anual de actualización al personal clínico sobre la recogida de muestras para urocultivos?</t>
  </si>
  <si>
    <t>Revise las instrucciones de recogida de muestras para urocultivos. ¿Aborda los siguientes elementos?</t>
  </si>
  <si>
    <t>Usar solo contenedores estériles</t>
  </si>
  <si>
    <t>Volumen mínimo (generalmente 3 ml)</t>
  </si>
  <si>
    <t>Instrucciones para el etiquetado adecuado</t>
  </si>
  <si>
    <t>Transporte al laboratorio a temperatura ambiente en el plazo máximo de dos horas tras la recogida de la muestra</t>
  </si>
  <si>
    <t>Si el transporte se retrasa, almacenar refrigerado por un máximo de 24 horas</t>
  </si>
  <si>
    <t>¿Proporciona el laboratorio instrucciones/POEs de recogida de muestras para coprocultivo a las áreas de recogida de muestras de pacientes?</t>
  </si>
  <si>
    <t>¿Proporciona el laboratorio (u otro departamento) formación anual de actualización al personal clínico sobre la recogida de muestras para coprocultivo?</t>
  </si>
  <si>
    <t>Revise las instrucciones de recogida de muestras para coprocultivos. ¿Aborda los siguientes elementos?</t>
  </si>
  <si>
    <t>Usar solo contenedores aprobados</t>
  </si>
  <si>
    <t>Transporte al laboratorio a temperatura ambiente en el plazo máximo de dos horas tras la recogida de la muestra.</t>
  </si>
  <si>
    <t>Si el transporte se retrasa, guardar la muestra en un medio de transporte aprobado (como Cary-Blair) por un máximo de 24 horas</t>
  </si>
  <si>
    <t>Si  el transporte se retrasa, no refrigerar las heces, ya que algunos patógenos, especialmente Shigella spp, mueren a bajas temperaturas.</t>
  </si>
  <si>
    <t>PROCESAMIENTO DE LOS HEMOCULTIVOS</t>
  </si>
  <si>
    <t>Cuando un frasco de hemocultivo muestra signos de positividad (turbidez, hemólisis o producción de gas), ¿realiza el laboratorio una tinción de Gram del caldo del frasco?</t>
  </si>
  <si>
    <t>Si la tinción de Gram del frasco es positiva, ¿notifica el laboratorio inmediatamente el resultado al médico?</t>
  </si>
  <si>
    <t>Cuando se subcultiva un caldo de hemocultivo positivo, ¿se incluye una placa de chocolate para garantizar la recuperación de los organismos fastidiosos ?</t>
  </si>
  <si>
    <t>¿Inocula el laboratorio más de una muestra de paciente en la misma placa de Petri?</t>
  </si>
  <si>
    <t>¿Se definen adecuadamente en el POE de hemocultivos los organismos que se consideran generalmente contaminantes?</t>
  </si>
  <si>
    <t>Por ejemplo, Corynebacterium spp., Propionibacterium spp., Micrococcus spp., Viridans Strep spp., Bacillus spp. Y Staph spp. Coagulasa negativa. aislado de un único cultivo</t>
  </si>
  <si>
    <t>¿Realiza el laboratorio PSA en organismos que sean posibles contaminantes?</t>
  </si>
  <si>
    <t>1: solo automatizado; 2: solo sistema manual; 3: sistemas automatizados y manuales</t>
  </si>
  <si>
    <t>Revise el POE para la incubación manual de frascos de hemocultivo. ¿Incluye las instrucciones siguientes? (Si solo se utilizan sistemas automatizados, responda NA)</t>
  </si>
  <si>
    <t>Cada día de incubación, examinar visualmente todas los frascos en busca de signos de positividad (turbidez, hemólisis, producción de gas)</t>
  </si>
  <si>
    <t>Después de 24 horas de incubación, realizar un subcultivo de todos los frascos que aparenten ser negativos</t>
  </si>
  <si>
    <t>Después de 48 horas de incubación, realizar nuevamente un subcultivo de todos los frascos que aparenten ser negativos (si el primer subcultivo fue negativo)</t>
  </si>
  <si>
    <t>Realizar un subcultivo de los frascos que aparenten ser negativos en una placa de agar chocolate (incubada al 5% de CO2) para asegurar la recuperación de organismos fastidiosos.</t>
  </si>
  <si>
    <t xml:space="preserve">Dejar incubar todos los frascos entre 5 y 7 días antes de emitir un informe final negativo </t>
  </si>
  <si>
    <t xml:space="preserve">En el último día de incubación, realizar un subcultivo final antes de emitir el informe final negativo </t>
  </si>
  <si>
    <t>¿Tiene el laboratorio un POE sobre cómo procesar la orina para el cultivo bacteriano? (Solicitar ver)</t>
  </si>
  <si>
    <t>Según el POE, ¿qué medios se utilizan para el urocultivo primario?</t>
  </si>
  <si>
    <t>1. Tanto el agar sangre como el agar selectivo para Gram negativos (Ej., MacConkey, EMB, CLED)</t>
  </si>
  <si>
    <t>Estándar: CAP MIC.22210; SANAS TR 34-04: 3.2.1.2 Se deben usar medios y procedimientos que aseguren el aislamiento e identificación de uropatógenos comunes como Enterobacteriaceae, Enterococcus sp. Y Staphylococcus sp.</t>
  </si>
  <si>
    <t>¿Se siembra la orina en las placas utilizando un asa de siembra calibrada?</t>
  </si>
  <si>
    <t>1: Sí, 1 µL - 2: Sí, 10 µL - 3: No, las asas de siembra calibradas no se usan para sembrar la orina en placas</t>
  </si>
  <si>
    <t>¿Siembra el laboratorio más de una muestra de paciente en la misma placa de Petri?</t>
  </si>
  <si>
    <t>¿Proporciona el POE de urocultivos orientación al técnico para determinar qué organismos "trabajar" (ID y PSA) en función de las cantidades relativas, la patogenicidad y el método de recogida de muestras?</t>
  </si>
  <si>
    <t>¿Se ha formado adecuadamente a los técnicos para reconocer una muestra de orina mal recogida (aquella con predominio de flora fecal o de la piel) en función de las cantidades relativas, tipos y mezclas de organismos presentes?</t>
  </si>
  <si>
    <t>¿Tiene el laboratorio un POE sobre cómo procesar las heces (en placa) para el cultivo bacteriano?  (Solicitar ver)</t>
  </si>
  <si>
    <t>¿Describe el POE cómo identificar posibles patógenos en todos los medios primarios?</t>
  </si>
  <si>
    <t>El POE debe describir la aparición de colonias de posibles patógenos en MAC y otros medios selectivos y diferenciales que se utilicen, y debe definir cómo proceder cuando se encuentre a un posible patógeno.</t>
  </si>
  <si>
    <t>¿Qué medios se utilizan para el coprocultivo primario?</t>
  </si>
  <si>
    <t>Agar MacConkey o Eosina azul de metileno (EMB, por sus siglas en inglés)</t>
  </si>
  <si>
    <t>Agar de detección selectiva y diferencial para Salmonella y Shigella (Ej., Agar Salmonella / Shigella, agar entérico de Hektoen, agar xilosa lisina desoxicolato o agar desoxicolato citrato)</t>
  </si>
  <si>
    <t>Caldo de enriquecimiento selectivo (Ej., Selenita, GN, etc.)</t>
  </si>
  <si>
    <t>Otro (describir en comentarios, no se puntua)</t>
  </si>
  <si>
    <t>¿Cuál de los siguientes patógenos se buscan rutinariamente en los coprocultivos recibidos?</t>
  </si>
  <si>
    <t>10- PROCEDIMIENTOS OPERATIVOS ESTANDARIZADOS Y MÉTODOS DE IDENTIFICACIÓN</t>
  </si>
  <si>
    <t>Nota: tenga en cuenta que todas las preguntas se refieren solo a aislamientos clínicos de pacientes, NO a aislamientos ambientales o de investigación.</t>
  </si>
  <si>
    <t>MÉTODOS DE IDENTIFICACIÓN CONVENCIONALES - POE RESUMEN DE PUNTUACIÓN</t>
  </si>
  <si>
    <t>Responda las siguientes preguntas para cada método manual / bioquímico que se utilice en el laboratorio.</t>
  </si>
  <si>
    <t>* "Completamente implementado" significa que el POE ha sido aprobado y firmado por un supervisor de laboratorio o persona designada para tal efecto, y que el personal del laboratorio ha recibido formado de sus contenidos y utiliza el POE. Un POE que está completo pero que no ha sido aprobado o no tiene un uso en la rutina no se considera completamente implementado.</t>
  </si>
  <si>
    <t>** "Fácilmente disponible" significa que los técnicos pueden acceder fácilmente al POE desde la poyata o cerca de ella, ya sea en forma electrónica o en papel, y que la información buscada se encuentra fácilmente dentro del POE, no está diluida en un documento más grande y está escrita en un lenguaje que aquellos que usan el POE pueden leer con fluidez.</t>
  </si>
  <si>
    <t>STAPHYLOCOCCUS AUREUS, MÉTODOS CLAVE DE IDENTIFICACIÓN</t>
  </si>
  <si>
    <t>¿Está en uso este reactivo en su laboratorio? (En caso negativo, seleccione N/A para las preguntas restantes sobre este reactivo)</t>
  </si>
  <si>
    <t>¿Hay un POE actualizado  que esté completamente implementado? * (Si el reactivo está en uso pero no hay POE, responda "no" a todas las preguntas restantes sobre este reactivo)</t>
  </si>
  <si>
    <t>¿Está el POE fácilmente disponible ** para el personal que trabaja en la poyata?</t>
  </si>
  <si>
    <t>¿Define el POE los organismos para el CC, frecuencia del CC y resultados de CC esperados?</t>
  </si>
  <si>
    <t>¿Proporciona el POE instrucciones sobre cómo realizar la prueba correctamente paso a paso ?</t>
  </si>
  <si>
    <t>¿Proporciona el POE instrucciones sobre cómo interpretar los resultados paso a paso?</t>
  </si>
  <si>
    <t>¿Se realiza la prueba de catalasa antes de la prueba de la coagulasa en aislados sospechosos de estafilococo?</t>
  </si>
  <si>
    <t>¿Proporciona el POE instrucciones sobre cómo realizar la inoculación y la incubación paso a paso ?</t>
  </si>
  <si>
    <t>¿Proporciona el POE instrucciones sobre cómo realizar la lectura e interpretación paso a paso?</t>
  </si>
  <si>
    <t>¿Cuál es el origen del plasma utilizado para las pruebas de la coagulasa?</t>
  </si>
  <si>
    <t>1: plasma de conejo comercial - 2: conejo sangrado localmente - 3: plasma humano - 4: otra fuente (por favor describa en los comentarios)</t>
  </si>
  <si>
    <t>¿Se confirman los resultados negativos de la prueba de la coagulasa en porta con una prueba de coagulasa en tubo antes de notificar?</t>
  </si>
  <si>
    <t>1: siempre 2: a veces 3: nunca; NA, el laboratorio no realiza pruebas de la coagulasa en porta</t>
  </si>
  <si>
    <t>¿Se retiran las tarjetas desechables después del uso (no se reutilizan)?</t>
  </si>
  <si>
    <t>1: Siempre - 2: A veces - 3: No - NA, el laboratorio no usa aglutinación de látex para identificar estafilococos</t>
  </si>
  <si>
    <t>Si el resultado de Optoquina es dudoso (9-13 mm), ¿se realiza la prueba de solubilidad en bilis u otras pruebas adicionales para confirmar la identificación?</t>
  </si>
  <si>
    <t>Indol</t>
  </si>
  <si>
    <t xml:space="preserve">Agar Hierro-Triple-Azúcar (TSI) o agar de Hierro de Kligler (KIA) </t>
  </si>
  <si>
    <t>Agar Lisina Hierro (LIA) o lisina descarboxilasa (LDC)</t>
  </si>
  <si>
    <t>SEROLOGÍA SHIGELLA / SALMONELLA</t>
  </si>
  <si>
    <t>Prueba de oxidación-fermentación (OF) de la glucosa</t>
  </si>
  <si>
    <t> Si el laboratorio utiliza kits bioquímicos rápidos para la identificación del organismo (Ej., API, Liofilchem, RapID), ¿contiene el POE para cada kit la siguiente información? (Si no se usan kits, marque "NA", si se usan kits pero no hay POE, marque "No")</t>
  </si>
  <si>
    <t>Organismos definidos para el CC, frecuencia del CC y resultados de CC esperados</t>
  </si>
  <si>
    <t>Instrucciones sobre cómo preparar paso a paso el inóculo en el medio de cultivo líquido correcto y en la densidad correcta.</t>
  </si>
  <si>
    <t>Instrucciones sobre cómo inocular e incubar el dispositivo paso a paso</t>
  </si>
  <si>
    <t>Instrucciones sobre cómo leer los resultados paso a paso, incluido el uso de reactivos adicionales en caso de ser necesario</t>
  </si>
  <si>
    <t>Instrucciones claras sobre la interpretación de resultados y cómo reconocer resultados inaceptables.</t>
  </si>
  <si>
    <t>¿Están los POE disponibles en un idioma que los técnicos puedan leer con fluidez?</t>
  </si>
  <si>
    <t>Después de la inoculación del dispositivo, ¿utiliza el laboratorio el inóculo restante para hacer una placa de pureza? (Una placa de pureza es un subcultivo del inóculo que se hace para garantizar que éste no estuviera mezclado ni contaminado; generalmente se siembra como la orina para garantizar la visualización de las colonias individuales y se verifica su pureza al leer los resultados)</t>
  </si>
  <si>
    <t>Después de la incubación, ¿están todos los reactivos suplementarios disponibles y se agregan de acuerdo con las instrucciones del fabricante? (por ejemplo, VP1 y 2 para API)</t>
  </si>
  <si>
    <t>¿Están actualizadas las bases de datos usadas para interpretar los resultados del kit (bionumbers)?</t>
  </si>
  <si>
    <t>Cuando un resultado de ID (bionumber) no alcanza el umbral para una identificación aceptable, ¿hay evidencia de que se toman las medidas apropiadas, tales como repetir la prueba con otro método o realizar pruebas bioquímicas adicionales?</t>
  </si>
  <si>
    <t>Si el laboratorio utiliza métodos automatizados para la identificación de organismos (Ej., Vitek, Microscan, Phoenix), ¿contienen los POE la siguiente información? (Los manuales de usuario proporcionados por el fabricante no se consideran POEs)</t>
  </si>
  <si>
    <t>Instruccones claras sobre la interpretación de resultados y cómo reconocer resultados inaceptables.</t>
  </si>
  <si>
    <t>Una placa de pureza es un subcultivo del inóculo que se hace para garantizar que éste no estuviera mezclado ni contaminado; generalmente se siembra como la orina para garantizar la visualización de las colonias individuales y se verifica su pureza al leer los resultados. Generalmente se usa BAP.</t>
  </si>
  <si>
    <t>Cuando el software del instrumento marca un resultado de ID como dudoso, ¿hay evidencia de que se toman las medidas apropiadas, como repetir la prueba con otro método o realizar pruebas bioquímicas adicionales?</t>
  </si>
  <si>
    <t>Cuando la placa primaria tiene cultivos mixtos, ¿es una práctica estándar subcultivar cada colonia de interés en una placa nueva para garantizar la pureza antes de proseguir con la identificación?</t>
  </si>
  <si>
    <t>Para los bacilos Gram negativos, ¿es una práctica estándar realizar primero una prueba de oxidasa, antes de proceder con cualquier otra prueba de identificación (incluida la identificación automática)?</t>
  </si>
  <si>
    <t>Para los bacilos Gram negativos, ¿es una práctica estándar realizar en segundo lugar una prueba de indol, antes de proceder con otras pruebas de identificación (incluida la identificación automática)?</t>
  </si>
  <si>
    <t>Para los bacilos Gram negativos oxidasa negativos que no fermentan la lactosa (placa MacConkey limpia), ¿hay suficientes pruebas disponibles para conseguir una identificación definitiva?</t>
  </si>
  <si>
    <t>Completamente implementado *, POE actualizado y vigente</t>
  </si>
  <si>
    <t>El POE está fácilmente disponible ** para el personal que trabaja en la poyata</t>
  </si>
  <si>
    <t>El POE define los organismos para el CC, frecuencia del CC y resultados de CC esperados</t>
  </si>
  <si>
    <t>El POE proporcona instrucciones paso a paso para realizar la prueba</t>
  </si>
  <si>
    <t xml:space="preserve">El POE proporciona instrucciones sobre cómo realizar la interpretación de la prueba paso a paso </t>
  </si>
  <si>
    <t xml:space="preserve">11- ASPECTOS BÁSICOS DE PRUEBAS DE SENSIBILIDAD ANTIMICROBIANA (PSA) </t>
  </si>
  <si>
    <t>MANTENIMIENTO DE LOS DISCOS Y TIRAS DE GRADIENTE CON ANTIBIÓTICO</t>
  </si>
  <si>
    <t>¿Los discos y tiras con antibióticos vienen con un certificado de análisis del fabricante en el que se garantiza que fueron probados y realizados de acuerdo con los estándares de calidad ISO?</t>
  </si>
  <si>
    <t>¿Están los paquetes que no se utilizan almacenados sin abrir y en su embalaje original para evitar la entrada de humedad?</t>
  </si>
  <si>
    <t>¿Se almacenan los discos y tiras con antibióticos sin abrir en un congelador no frost?</t>
  </si>
  <si>
    <t>Si el cartucho del disco con antibiótico tiene una tapa, ¿se reemplaza la tapa cada vez que se abre el cartucho?</t>
  </si>
  <si>
    <t>Una vez abiertos, ¿se almacenan los discos con antibióticos que están en uso de tal manera que pueda haber una trazabilidad del número de lote y la fecha de caducidad de cada disco? (Cuando se extraen discos individuales y se transfieren a contenedores secundarios, los números de lote pueden mezclarse y los discos caducados pueden usarse inadvertidamente).</t>
  </si>
  <si>
    <t>¿Se almacenan los discos y tiras con antibióticos en uso en un recipiente herméticamente cerrado con desecantes activos?</t>
  </si>
  <si>
    <t>Si los desecantes no tienen un indicador de color, ¿se reemplazan los desecantes incoloros al menos mensualmente?</t>
  </si>
  <si>
    <t>¿Se almacenan los recipientes que contienen los discos / tiras con antibióticos abiertos en un refrigerador o en un congelador no frost cuando no están en uso?</t>
  </si>
  <si>
    <t>¿Se permite que los recipientes que contienen discos / tiras con antibióticos abiertos se equilibren a temperatura ambiente antes de abrirlos para minimizar la condensación (generalmente 1 hora)?</t>
  </si>
  <si>
    <t>Al preparar un inóculo utilizando el método de suspensión de colonias, ¿se han utilizado colonias de más de 24 horas?</t>
  </si>
  <si>
    <t>Observe una preparación de inóculo para hacer una PSA. ¿Usan los técnicos exclusivamente colonias individuales y bien aisladas de un mismo tipo morfológico?</t>
  </si>
  <si>
    <t>¿Se toman las colonias solo de medios no selectivos, como el agar sangre (se acepta el agar MacConkey)?</t>
  </si>
  <si>
    <t>¿Alguna vez el laboratorio mezcla intencionalmente dos organismos diferentes en el mismo inóculo para hacer una PSA?</t>
  </si>
  <si>
    <t>¿Se indica en los registros que la solución salina se analiza periódicamente para determinar la esterilidad? (Preferiblemente al menos semanalmente)</t>
  </si>
  <si>
    <t>¿Se lleva el inóculo a una turbidez equivalente al 0.5 de la escala de McFarland?</t>
  </si>
  <si>
    <t>¿Cómo se ajusta con precisión la turbidez del inóculo?</t>
  </si>
  <si>
    <t>1: densitómetro calibrado / medidor de turbidez - 2: comparación visual con un estándar de 0.5 McFarland que no haya caducado (comprobar fecha de caducidad) - 3: ninguno de los anteriores</t>
  </si>
  <si>
    <t>¿Utiliza el laboratorio alguna vez agar que no sea Mueller Hinton para hacer PSA de organismos no fastidiosos?</t>
  </si>
  <si>
    <t>Observe la inoculación en una placa MH.</t>
  </si>
  <si>
    <t>¿Se usa siempre el inóculo antes de que transcurran 15 minutos desde su preparación?</t>
  </si>
  <si>
    <t>¿Se extiende el inóculo de manera que se cree una siembra uniforme?</t>
  </si>
  <si>
    <t>Antes de aplicar discos / tiras, ¿se dejan reposar las placas MH inoculadas, tapadas, de 3 a no más de 15 minutos para permitir la absorción del exceso de humedad superficial?</t>
  </si>
  <si>
    <t>Cuando se usan dispensadores de discos, ¿se desinfecta la parte inferior del dispensador entre aislamiento y aislamiento?</t>
  </si>
  <si>
    <t>¿Se incuban las placas de la PSA antes de que transcurran 15 minutos desde la colocación de los discos / tiras?</t>
  </si>
  <si>
    <t>Después de la inoculación para la PSA, ¿se hacen "placas de pureza" a partir de la suspensión restante?</t>
  </si>
  <si>
    <t>Una placa de pureza es un subcultivo del inóculo que se hace para garantizar que éste no estuviera mezclado ni contaminado; generalmente se siembra como la orina para garantizar la visualización de las colonias individuales y se verifica su pureza al leer los resultados</t>
  </si>
  <si>
    <t>¿Se incuban las placas de la PSA para organismos no fastidiosos en CO2?</t>
  </si>
  <si>
    <t>¿Se incuban las placas de PSA para S. pneumoniae en 5% de CO2?</t>
  </si>
  <si>
    <t>Observar algunas placas Mueller Hinton para PSA que haya actualmente en incubación y / o recientemente leídas.</t>
  </si>
  <si>
    <t>¿La siembra es uniforme (no se observan huecos ni colonias individuales)?</t>
  </si>
  <si>
    <t>¿Hay un máximo de 6 discos con antibiótico por placa de 100 mm?</t>
  </si>
  <si>
    <t>¿Hay un máximo de 12 discos con antibiótico por placa de 150 mm?</t>
  </si>
  <si>
    <t>LECTURA DE RESULTADOS DE LAS PSA</t>
  </si>
  <si>
    <t>¿Se leen los resultados de las PSA antes de que trascurran 16 horas de incubación?</t>
  </si>
  <si>
    <t>¿Se leen los resultados de las PSA una vez transcurridas más de 24 horas de incubación?</t>
  </si>
  <si>
    <t>Si se observan colonias individuales dentro del halo de inhibición, ¿repite el laboratorio la prueba haciendo un nuevo subcultivo a partir de una sola colonia de la placa original?</t>
  </si>
  <si>
    <t>Observar la lectura de una placa Mueller Hinton para PSA</t>
  </si>
  <si>
    <t>¿Está la placa puesta frente a una superficie negra no reflectante?</t>
  </si>
  <si>
    <t>¿Está la placa invertida y los halos se miden por su parte posterior?</t>
  </si>
  <si>
    <t>¿Se utiliza una regla o un pie de rey con marcas milimétricas para medir los halos de inhbición?</t>
  </si>
  <si>
    <t>¿Posee el laboratorio un documento de guía con fotos que describa cómo medir los diámetros de los halos de inhibición, como el CLSI M02 o las guías de lectura del método de difusión con discos de EUCAST?</t>
  </si>
  <si>
    <t>¿Posee el laboratorio un documento de guía con fotos que describa cómo medir los valores en la tira de gradiente?</t>
  </si>
  <si>
    <r>
      <t>¿Está actualizado el software del instrumento automatizad</t>
    </r>
    <r>
      <rPr>
        <sz val="10"/>
        <rFont val="Calibri"/>
        <family val="2"/>
        <scheme val="minor"/>
      </rPr>
      <t>o de PSA</t>
    </r>
    <r>
      <rPr>
        <sz val="10"/>
        <color rgb="FF000000"/>
        <rFont val="Calibri"/>
        <family val="2"/>
        <scheme val="minor"/>
      </rPr>
      <t>?</t>
    </r>
  </si>
  <si>
    <r>
      <t>Responda NA si el laboratorio no usa un instrumento automatizado</t>
    </r>
    <r>
      <rPr>
        <sz val="10"/>
        <rFont val="Calibri"/>
        <family val="2"/>
        <scheme val="minor"/>
      </rPr>
      <t xml:space="preserve"> de PSA</t>
    </r>
  </si>
  <si>
    <t>¿Hay evidencia de que se toman las medidas adecuadas cuando el software del instrumento para PSA marca un resultado dudoso (como verificar la pureza o repetir la prueba por otro método)?</t>
  </si>
  <si>
    <t>Nota: La resistencia intrínseca se define como una resistencia inherente o innata (no adquirida) propia de especie; por ejemplo, Citrobacter spp. y Klebsiella spp. son intrínsecamente (naturalmente) resistentes a la ampicilina</t>
  </si>
  <si>
    <t>Verifique los POE y los registros de evaluación de formación / competencia</t>
  </si>
  <si>
    <t>¿Se informa al responsable o supervisor de microbiología cuando se identifican resultados inusuales en las PSA?</t>
  </si>
  <si>
    <t>¿Revisa un supervisor todos los resultados de las PSA en busca de resultados inusuales antes de notificar los resultados a los médicos?</t>
  </si>
  <si>
    <t>¿Hay evidencia de que el supervisor recibió la formación adecuada sobre cómo reconocer resultados inusuales en las PSA?</t>
  </si>
  <si>
    <t>¿Qué estándar de punto de corte para PSA utiliza principalmente el laboratorio?</t>
  </si>
  <si>
    <t>¿Obtiene el laboratorio actualizaciones del estándar en uso al menos cada 3 años?</t>
  </si>
  <si>
    <t>¿Revisa el laboratorio cambios importantes en los estándares, por ej. cambios en el punto de corte, con los comités hospitalarios relevantes (por ejemplo, farmacia, antibióticos)?</t>
  </si>
  <si>
    <t>¿Hay internet gratuito en el laboratorio para acceder a los archivos PDF de EUCAST o la versión online de CLSI M100?</t>
  </si>
  <si>
    <t>¿Hay evidencia de que el personal de microbiología haya recibido la formación adecuada sobre cómo usar los documentos CLSI M100 o EUCAST de manera efectiva? (1: Sí - 2: Algunos, pero quisiera formación adicional - 3: No)</t>
  </si>
  <si>
    <t>Para las siguientes 3 preguntas, responda NA si el laboratorio no usa los discos correspondientes</t>
  </si>
  <si>
    <t>12- REGLAS DE EXPERTO PARA PSA</t>
  </si>
  <si>
    <t>Revise un informe de PSA para un aislado de Salmonella o Shigella de muestra de paciente. ¿Alguno de los siguientes antibióticos fue probado o notificado?</t>
  </si>
  <si>
    <t>Estos medicamentos pueden parecer activos in vitro, pero no son clínicamente efectivos contra Salmonella o Shigella y no deben notificarse como sensibles, independientemente del resultado de la PSA.</t>
  </si>
  <si>
    <t>¿Utiliza el laboratorio el ácido nalidíxico para buscar aislados de Salmonella resistentes a la ciprofloxacina?</t>
  </si>
  <si>
    <t xml:space="preserve">GRAM NEGATIVOS Y PUNTOS DE CORTE DE BETALACTÁMICOS </t>
  </si>
  <si>
    <t>A partir de 2009, CLSI y EUCAST redujeron los puntos de corte de varios antibióticos betalactámicos y Aztreonam para mejorar la detección de resistencia.</t>
  </si>
  <si>
    <t>PRUEBAS PARA LA DETECCIÓN FENOTÍPICA DE BLEE</t>
  </si>
  <si>
    <t>NOTA: Las preguntas 12.26 y 12.27 solo se aplican a los laboratorios que NO utilizan los puntos de corte actuales de cefalosporina y aztreonam. Si este laboratorio utiliza puntos de corte actuales, seleccione NA para ambas preguntas y pase a la pregunta 12.28</t>
  </si>
  <si>
    <t>Los laboratorios que NO usan los puntos de corte actuales de cefalosporina y aztreonam deben realizar pruebas de rutina para la detección fenotípica de BLEE. Para los aislamientos positivos para BLEE, todas las penicilinas, cefalosporinas y aztreonam que sean sensibles deben informarse como resistentes. ¿Se aplica esta práctica (cambiar las interpretaciones de BLEE + de S a R)?</t>
  </si>
  <si>
    <t>Los laboratorios que NO usan los puntos de corte actuales de aztreonam y cefalosporina deben adjuntar un comentario de advertencia al informe para organismos positivos a BLEE: "Los productores de BLEE deben considerarse clínicamente resistentes a todas las penicilinas, cefalosporinas y aztreonam". ¿Se aplica esta práctica?</t>
  </si>
  <si>
    <t>Para los laboratorios que SÍ utilizan los puntos de corte actuales de cefalosporinas y aztreonam, CLSI y EUCAST ya no recomiendan realizar pruebas de rutina para la detección fenotípica de BLEE. Además, si se realiza la prueba BLEE y la prueba es positiva, las interpretaciones para los agentes betalactámicos NO necesitan cambiarse de susceptibles a resistentes. ¿Ha dejado el laboratorio de editar los resultados de las PSA basados ​​en el resultado de la prueba de BLEE?</t>
  </si>
  <si>
    <t>¿Realiza el laboratorio pruebas fenotípicas para la producción de BLEE? Incluyendo discos, tiras de gradiente o bandejas con pocillos en un sistema automatizado.</t>
  </si>
  <si>
    <t>¿Incluye el método de detección fenotípica de BLEE tanto cefotaxima (o ceftriaxona) COMO ceftazidima sola y en combinación con ácido clavulánico?</t>
  </si>
  <si>
    <t>¿Realiza el laboratorio pruebas de detección genotípica de producción de BLEE? (Por ejemplo, PCR)</t>
  </si>
  <si>
    <t>¿Indican los registros si el CC de las pruebas de detección de BLEE  se realiza semanalmente o cada vez que se realiza la prueba?</t>
  </si>
  <si>
    <t>¿Indican los registros si el laboratorio utiliza organismos de control positivo y negativo para el CC de la prueba de detección de BLEE que esté en uso? (Una cepa positiva productora de BLEE comúnmente utilizada es Klebsiella pneumoniae ATCC 700603)</t>
  </si>
  <si>
    <t>Cuando se confirma un resultado positivo de BLEE, ¿notifica el laboratorio al equipo de control de infecciones?</t>
  </si>
  <si>
    <t>PRUEBAS PARA LA DETECCIÓN FENOTÍPICA DE CARBAPENEMASAS</t>
  </si>
  <si>
    <t>Los laboratorios que NO utilizan los puntos de corte actuales de carbapenem deben realizar pruebas de rutina para detectar la producción de carbapenemasas (por ejemplo, CarbaNP, mCIM o un ensayo molecular). Si se detecta una carbapenemasa, todos los carbapenems que prueben susceptibles deben informarse como resistentes. ¿Se aplica esta práctica (cambiar los resultados de S a R en función del resultado positivo de la prueba de carbapenemasas)?</t>
  </si>
  <si>
    <t>Nota: Seleccione NA si el laboratorio usa puntos de corte actuales</t>
  </si>
  <si>
    <t>Para los laboratorios que SÍ usan los puntos de corte actuales de carbapenem, CLSI y EUCAST ya no recomiendan pruebas de rutina para detectar la producción de carbapenemasas. Además, si se realiza dicha prueba y la prueba es positiva, las interpretaciones para carbapenems NO necesitan cambiarse de susceptibles a resistentes. ¿Ha dejado el laboratorio de editar los resultados de las PSA basados ​​en el resultado de carbapenemasas?</t>
  </si>
  <si>
    <t>Nota: Seleccione NA si el laboratorio NO usa puntos de corte actuales</t>
  </si>
  <si>
    <t>¿El laboratorio realiza alguna de las siguientes pruebas fenotípicas para detectar la producción de carbapenemasas?</t>
  </si>
  <si>
    <t>Otro método con discos, por ejemplo, prueba de combinación de discos o sinergia de doble disco</t>
  </si>
  <si>
    <t>Prueba de la CMI en tira, por ejemplo, Etest KPC, MBL o Liofilchem ​​MRP / MBO, ETP / EBO</t>
  </si>
  <si>
    <t>Prueba bioquímica (colorimétrica), Ej. CarbaNP, BCT o β CARBA</t>
  </si>
  <si>
    <t>Método de Inactivación del Carbapenémico modificado (MCIM)</t>
  </si>
  <si>
    <t>¿Realiza el laboratorio pruebas genotípicas para detectar la producción de carbapenemasas? (Por ejemplo, PCR, GeneXpert, etc.)</t>
  </si>
  <si>
    <t>¿Indican los registros si el CC se realiza cada vez que se hace la prueba de detección de carbapenemasas?</t>
  </si>
  <si>
    <t>¿Indican los registros si el laboratorio utiliza organismos de control positivo y negativo para controlar la prueba de detección de carbapenemasas en uso?</t>
  </si>
  <si>
    <t>Cuando se detecta un productor de carbapenemasas, ¿se anota en el informe final que se da al médico?</t>
  </si>
  <si>
    <t>Cuando se detecta un productor de carbapenemasas, ¿notifica el laboratorio al equipo de control de infecciones?</t>
  </si>
  <si>
    <t>¿Qué métodos de PSA usa el laboratorio para la colistina? (Marque todo lo que corresponda)</t>
  </si>
  <si>
    <t>Instrumento automatizado (Ej., Vitek / Phoenix)</t>
  </si>
  <si>
    <t>Microdilución en caldo  con polisorbato 80</t>
  </si>
  <si>
    <t>Microdilución en caldo sin polisorbato 80</t>
  </si>
  <si>
    <t>Método de elución de discos de colistina en caldo (CBDE, por sus siglas en inglés)</t>
  </si>
  <si>
    <r>
      <t>¿Indican los registros si el CC de la PSA de colistina</t>
    </r>
    <r>
      <rPr>
        <sz val="10"/>
        <color rgb="FFFF0000"/>
        <rFont val="Calibri"/>
        <family val="2"/>
        <scheme val="minor"/>
      </rPr>
      <t xml:space="preserve"> </t>
    </r>
    <r>
      <rPr>
        <sz val="10"/>
        <color rgb="FF000000"/>
        <rFont val="Calibri"/>
        <family val="2"/>
        <scheme val="minor"/>
      </rPr>
      <t>se realiza semanalmente o cada vez que se realiza la prueba?</t>
    </r>
  </si>
  <si>
    <t>Cuando se detecta resistencia a la colistina, ¿se notifica a alguno de los siguientes?</t>
  </si>
  <si>
    <t>Cuando se detecta resistencia a la colistina, ¿se envía el aislado a un laboratorio de referencia para la caracterización molecular (por ejemplo, prueba para los genes mcr)?</t>
  </si>
  <si>
    <t>Si el laboratorio realiza la PSA de microdilución en caldo para colistina, ¿se usa sulfato de colistina, y no colistina metano-sulfonato (sulfometato)?</t>
  </si>
  <si>
    <t>El derivado de colistina metano-sulfonato ("cms") es un profármaco inactivo que se descompone lentamente en solución y, por lo tanto, no puede usarse para PSA.</t>
  </si>
  <si>
    <t>Si el laboratorio realiza la PSA de microdilución en caldo  para colistina, ¿se usa el caldo Mueller Hinton con cationes ajustados?</t>
  </si>
  <si>
    <t>Responda NA si el laboratorio no realiza microdilución en caldo</t>
  </si>
  <si>
    <t>¿Ha entrenado el laboratorio al personal médico sobre cuáles son las limitaciones y los riesgos actuales asociados con la colistina en PSA?</t>
  </si>
  <si>
    <t>¿Utiliza el laboratorio discos de oxacilina para detectar SARM?</t>
  </si>
  <si>
    <t>Cuando los resultados de oxacilina y cefoxitina son discrepantes para S. aureus (uno es S y otro es R), ¿cómo notifica el laboratorio la oxacilina?</t>
  </si>
  <si>
    <t>1: se notifica la interpretación de oxacilina, independientemente de cuál sea el resultado de cefoxitina - 2: se notifica la interpretación de cefoxitina, independientemente de cuál sea el resultado de oxacilina - 3: Si cualquiera de estos antibióticos sale R, se notifica el resultado como R - NA: el laboratorio solo prueba uno de estos antibióticos, no ambos</t>
  </si>
  <si>
    <t>¿Utiliza el laboratorio discos de vancomicina para detectar VISA (Staph aureus con resistencia intermedia a vancomicina) / VRSA (Staph aureus resstente a vancomicina)?</t>
  </si>
  <si>
    <t>Cuando se usa un método manual para medir la CMI de la vancomicina en Staph aureus  ¿se incuba la prueba durante 24 horas antes de leer el resultado?</t>
  </si>
  <si>
    <t>Responda NA si no se utiliza el método manual para medir la CMI</t>
  </si>
  <si>
    <t>¿A los estafilococos aureus resistentes a la eritromicina y susceptibles o intermedios a la clindamicina se le hacen pruebas de detección de resistencia inducible a clindamicina?</t>
  </si>
  <si>
    <t>¿Se miden los halos donde se inhibe el crecimiento (en oposición a la zona de hemólisis)?</t>
  </si>
  <si>
    <t>Si el laboratorio utiliza un disco de oxacilina (1ug) para detectar la resistencia a la penicilina en Strep. pneumoniae, ¿qué instrucciones da el POE del laboratorio cuando el diámetro del halo de inhibición mide &lt;19? (Refiriéndose a la penicilina G o bencilpenicilina, la formulación IV)</t>
  </si>
  <si>
    <t>1: se notifica resistencia a la penicilina - 2: se realizan pruebas adicionales utilizando un método para medir la CMI de penicilina - NA: el laboratorio no realiza la detección de oxacilina</t>
  </si>
  <si>
    <t>¿Realiza el laboratorio PSA en S.pneumoniae? (No puntuado. En caso negativo, pase a la siguiente sección).</t>
  </si>
  <si>
    <t>¿Utiliza el laboratorio la técnica de difusión con discos para probar alguno de los siguientes antibióticos en S.pneumo?</t>
  </si>
  <si>
    <t>Cuando se aísla S. pneumoniae de sangre o líquido cefalorraquídeo, ¿prueba el laboratorio los siguientes antibióticos utilizando un método de CMI?</t>
  </si>
  <si>
    <t>PRUEBA DE RESISTENCIA INDUCIBLE A CLINDAMICINA</t>
  </si>
  <si>
    <t>¿Se especifica en el POE del D-test que los discos de eritromicina y clindamicina deben colocarse a una distancia de 15-26 mm para las especies de estafilococos?</t>
  </si>
  <si>
    <t>¿Se especifica en el POE del D-test que los discos de eritromicina y clindamicina se deben colocar a 12 mm de distancia para las especies de estreptococos?</t>
  </si>
  <si>
    <t>¿Indican los registros si el CC del D-test se realiza semanalmente o cada vez que se realiza la prueba?</t>
  </si>
  <si>
    <t>Cuando el D-test es positivo, ¿se cambia el resultado de clindamicina a resistente?</t>
  </si>
  <si>
    <t>REGLAS DE EXPERTO PARA EL LÍQUIDO CEFALORRAQUÍDEO (LCR)</t>
  </si>
  <si>
    <t>Revise un informe de PSA  para una cultivo de LCR positivo de una muestra de paciente ¿Alguna de las siguientes clases de antibióticos fue probado o notificado?</t>
  </si>
  <si>
    <t>(Los siguientes no son los antibióticos de elección y pueden no ser efectivos para tratar infecciones en el LCR, independientemente del resultado de la PSA)</t>
  </si>
  <si>
    <t>¿Hay un POE que defina claramente la combinación estándar de antibióticos ("paneles de antibióticos") que el laboratorio probará en cada uno de los siguientes patógenos? (Los documentos CLSI y EUCAST no son POEs)</t>
  </si>
  <si>
    <t>Revise varios informes de PSA  para E. coli. de muestras de pacientes ¿Se prueba cada vez la misma combinación de antibióticos?</t>
  </si>
  <si>
    <t>¿El laboratorio produce un informe acumulado de antibiograma al menos anualmente?</t>
  </si>
  <si>
    <t>Revise el informe acumulado de antibiograma más reciente. ¿Cumple con las siguientes recomendaciones CLSI M39?</t>
  </si>
  <si>
    <t>Muestra claramente el intervalo de fechas (por ejemplo, 1 de enero, AAAA - 31 de diciembre, AAAA)</t>
  </si>
  <si>
    <t>Muestra claramente el nombre del hospital / centro</t>
  </si>
  <si>
    <t>Los datos se presentan como % S (no % R)</t>
  </si>
  <si>
    <t>Solo presenta datos para organismos / antibióticos donde el N total de aislados sea igual o superior a 30</t>
  </si>
  <si>
    <t>¿Se excluyen del análisis los aislados de cultivos ambientales y cultivos de cribado (Ej., Cribado SARM, cribado ERV)?</t>
  </si>
  <si>
    <t>¿Puede el laboratorio eliminar datos de aislados duplicados, de modo que solo se incluya un único aislado por paciente (el primero), de una especie dada, por período de análisis, independientemente del sitio del cuerpo del que se haya obtenido?</t>
  </si>
  <si>
    <t>¿Puede separar el laboratorio los datos de pacientes ingresados de los datos de pacientes no ingresados?</t>
  </si>
  <si>
    <t>Si el laboratorio atiende a varios hospitales / centros, ¿puede separar los datos por Centro?</t>
  </si>
  <si>
    <t>¿Se revisa el informe acumulado de antibiograma anualmente por un Comité de Antibióticos o por un Comité de Farmacia?</t>
  </si>
  <si>
    <t>¿Se distribuye el informe acumulado de antibiograma a todos los médicos?</t>
  </si>
  <si>
    <t>POLÍTICA DE PSA</t>
  </si>
  <si>
    <t>¿Es la política del laboratorio la que principalmente determina a qué aislamientos se les hacen PSA, o solo se realizan PSA cuando el médico lo solicita específicamente?</t>
  </si>
  <si>
    <t>1: es la política de laboratorio la que lo determina principalmente - 2: solo cuando lo solicite el médico - 3: combinación equitativa de ambos</t>
  </si>
  <si>
    <t>¿Es la política del laboratorio la que principalmente determina qué antibióticos probar y notificar, o el laboratorio solo prueba y notifica los antibióticos específicos que solicita el médico?</t>
  </si>
  <si>
    <t>1: es la política del laboratorio la que lo determina principalmente - 2: solo los antibióticos solicitados por el médico - 3: mezcla equitativa de ambos</t>
  </si>
  <si>
    <t>El "informe en cascada" es una estrategia de notificación selectiva de los resultados de las PSA en el que los agentes secundarios (Ej., Espectro ampliado, los más costosos) pueden suprimirse o excluirse del informe del paciente si un organismo es sensible a agentes primarios dentro de la misma clase de medicamentos.</t>
  </si>
  <si>
    <t> ¿Realiza el laboratorio "informes en cascada"?</t>
  </si>
  <si>
    <t>Con los informes en cascada, existe el riesgo de que los resultados de las PSA excluidos del informe del paciente puedan también excluirse de la base de datos principal o SIL. Esto puede conducir a grandes sesgos en la vigilancia de las RAM y en las estadísticas de los informes acumulados de antibiograma.</t>
  </si>
  <si>
    <t>Si el laboratorio realiza los informes en cascada, ¿se hace de una manera que garantice que los resultados de las PSA excluidos del informe del paciente NO se excluyan del SIL u otra base de datos principal?</t>
  </si>
  <si>
    <t>¿Tiene el hospital un Comité de Antibióticos?</t>
  </si>
  <si>
    <t>Si el hospital tiene un Comité de Antibióticos, ¿algún miembro es microbiólogo?</t>
  </si>
  <si>
    <t>¿El hospital tiene un Comité de Farmacia?</t>
  </si>
  <si>
    <t>Si el hospital tiene un Comité de Farmacia, ¿algún miembro es microbiólogo?</t>
  </si>
  <si>
    <t>¿El Comité de Farmacia o el Comité de Antibióticos del hospital se reúne al menos una vez al año para revisar las recomendaciones nacionales o internacionales del panel de PSA  y modificarlas según el formulario del hospital y el informe acumulado de antibiograma?</t>
  </si>
  <si>
    <t>Completar en caso de que no haya registro de otra auditoría de seguridad en los últimos 12 meses. Esto no pretende ser una auditoría integral de seguridad.</t>
  </si>
  <si>
    <t>Cabina de bioseguridad (clase IIA)</t>
  </si>
  <si>
    <t>Cubiertas en cada cubeta de la centrífuga</t>
  </si>
  <si>
    <t>Tapa sobre rotor</t>
  </si>
  <si>
    <t>Armario de seguridad para inflamables (para almacenar de forma segura líquidos inflamables, por ejemplo, etanol)</t>
  </si>
  <si>
    <t>Estándar: El gestor del laboratorio es responsable de asegurar que el laboratorio esté equipado con equipos de seguridad estándar. La lista anterior es una lista parcial de elementos necesarios. Las cabinas de bioseguridad deben estar en su lugar y en uso y todas las centrífugas deben tener cubiertas. Las estaciones de lavado de manos deben estar designadas y equipadas y las estaciones de lavado de ojos (o un método alternativo aceptable de limpieza de ojos) deben estar disponibles y estar en estado operativo. Los kits de derrames y los botiquines de primeros auxilios deben guardarse en un lugar designado y revisarse regularmente para determinar si están listos para ser usados.</t>
  </si>
  <si>
    <t>Estándar: ISO 15189: 5.2.10 Todas las jeringas, agujas, lancetas u otros dispositivos para extracciones de sangre capaces de transmitir infecciones deben usarse solo una vez y desecharse en recipientes resistentes a los pinchazos que no se llenen en exceso. Los contenedores de objetos punzantes deben estar claramente marcados para advertir a los manipuladores del peligro potencial y deben ubicarse en áreas donde los objetos punzantes se usan comúnmente.</t>
  </si>
  <si>
    <t>¿Se han re-certificado todas las cabinas de bioseguridad en el plazo de un año a parir de la fecha de hoy?</t>
  </si>
  <si>
    <r>
      <t>Estándar: Un cabina de bioseguridad debe usarse para evitar la exposición a los aerosoles de muestras u organismos contagiosos. Para un funcionamiento adecuado y una protección total, las cabinas de bioseguridad requieren mantenimiento periódico y se les debe prestar servicio</t>
    </r>
    <r>
      <rPr>
        <sz val="10"/>
        <color rgb="FFFF0000"/>
        <rFont val="Calibri"/>
        <family val="2"/>
        <scheme val="minor"/>
      </rPr>
      <t xml:space="preserve"> </t>
    </r>
    <r>
      <rPr>
        <sz val="10"/>
        <color rgb="FF000000"/>
        <rFont val="Calibri"/>
        <family val="2"/>
        <scheme val="minor"/>
      </rPr>
      <t>en consecuencia.</t>
    </r>
  </si>
  <si>
    <t>¿Están disponibles todos los equipos de protección personal (EPI) necesarios para trabajar en un BSL2?</t>
  </si>
  <si>
    <t>Batas</t>
  </si>
  <si>
    <t>Protección facial frente a aerosoles (máscara, careta o protector contra salpicaduras)</t>
  </si>
  <si>
    <t>¿Requiere la política del laboratorio que el personal de microbiología use zapatos cerrados?</t>
  </si>
  <si>
    <t>¿Utiliza el personal de laboratorio los EPIs de manera adecuada y consistente? (Observar)</t>
  </si>
  <si>
    <t>Estándar: la gerencia es responsable de proporcionar el equipo de protección personal adecuado (guantes, batas de laboratorio, protección ocular, protectores, etc.) en condiciones de uso. El personal del laboratorio debe utilizar equipos de protección personal en el laboratorio en todo momento. No se deben usar equipos de protección personal fuera del laboratorio. Los guantes deben reemplazarse inmediatamente cuando estén rotos o contaminados y no lavarse para su reutilización</t>
  </si>
  <si>
    <t>¿Prohíbe la política de laboratorio comer, beber y fumar en el laboratorio?</t>
  </si>
  <si>
    <t>Observe las neveras y congeladores donde se almacenan los medios y reactivos. ¿Están:</t>
  </si>
  <si>
    <t>¿Designados específicamente para el almacenamiento de medios / reactivos?</t>
  </si>
  <si>
    <t>¿Libres de alimentos del personal?</t>
  </si>
  <si>
    <t>¿Libres de muestras de pacientes?</t>
  </si>
  <si>
    <t>¿Bien organizados y ordenados?</t>
  </si>
  <si>
    <t>¿Se almacenan todos los productos químicos peligrosos de manera adecuada (ácidos separados de los alcalinos; inflamables en un armario de seguridad)?</t>
  </si>
  <si>
    <t>¿Se documenta diariamente la desinfección del área de trabajo (poyata y campana)?</t>
  </si>
  <si>
    <t>Estándar: ISO 15189: 5.2.10 El área de trabajo debe inspeccionarse periódicamente para verificar su limpieza y derrames. Se debe usar un desinfectante apropiado. Como mínimo, todas las poyatas y superficies de trabajo deben desinfectarse al principio y al final de cada turno. Todos los derrames deben ser contenidos inmediatamente y las superficies de trabajo desinfectadas.</t>
  </si>
  <si>
    <t>¿Hay disponible en el laboratorio algún manual de seguridad / bioseguridad de fácil acceso para todo el personal?</t>
  </si>
  <si>
    <t>¿Hay disponible en el laboratorio algún módulo de formación en seguridad / bioseguridad?</t>
  </si>
  <si>
    <t>¿Hay documentación que demuestre que se realiza un curso anual de actualización en seguridad / bioseguridad para todo el personal que maneje muestras, aislados o productos químicos?</t>
  </si>
  <si>
    <t>¿Hay documentación que demuestre que las investigaciones de accidentes / incidentes se llevan a cabo sistemáticamente?</t>
  </si>
  <si>
    <t>¿Se realizan evaluaciones de riesgos anuales y cada vez que se introduce un nuevo análisis / tecnología / equipo?</t>
  </si>
  <si>
    <t>Évaluation d'un laboratoire</t>
  </si>
  <si>
    <t>Figure à utiliser avec le module du CQ du TSA, questions 7.7 à 7.11</t>
  </si>
  <si>
    <t>Figure à utiliser avec le module installation, question 1.13</t>
  </si>
  <si>
    <t>Hémoculture</t>
  </si>
  <si>
    <t>Cultures de selles/coproculture</t>
  </si>
  <si>
    <t>Cultures respiratoires (non tuberculeuses)</t>
  </si>
  <si>
    <t>Cultures de liquide céphalo-rachidien (LCR)</t>
  </si>
  <si>
    <t>CHARGE DE TRAVAIL ANNUEL DU TSA</t>
  </si>
  <si>
    <t>Diffusion en disque</t>
  </si>
  <si>
    <t>Bandelette graduée (par exemple Etest / Liofilchem)</t>
  </si>
  <si>
    <t>Microdilution en milieu liquide (plaque à 96 puits)</t>
  </si>
  <si>
    <t>Macrodilultion en milieu liquide (méthode en tube)</t>
  </si>
  <si>
    <t>Dilution en gélose</t>
  </si>
  <si>
    <t>Diplôme supérieur en microbiologie médicale / médecine de laboratoire. (PhD, MD)</t>
  </si>
  <si>
    <t>Diplôme d'études supérieures, autre domaine (PhD, MD)</t>
  </si>
  <si>
    <t>Diplôme en  en microbiologie médicale / médecine de laboratoire</t>
  </si>
  <si>
    <t>Diplôme, autre domaine</t>
  </si>
  <si>
    <t>Licence en microbiologie médicale / médecine de laboratoire</t>
  </si>
  <si>
    <t>Licence, autre domaine</t>
  </si>
  <si>
    <t>Certificat ou diplôme de premier cycle en microbiologie médicale / médecine de laboratoire</t>
  </si>
  <si>
    <t>Certificat ou diplôme de premier cycle, autre domaine</t>
  </si>
  <si>
    <t>Proportion de personnel ayant suivi une formation en microbiologie médicale  ou médecine de laboratoire</t>
  </si>
  <si>
    <t>Proportion de personnel ayant un diplôme ou un titre plus élevé</t>
  </si>
  <si>
    <t>Alertes système</t>
  </si>
  <si>
    <t>PREPARATION DES MILIEUX ET CQ</t>
  </si>
  <si>
    <t xml:space="preserve">CQ DU TSA </t>
  </si>
  <si>
    <t>TSA BASIQUE</t>
  </si>
  <si>
    <t>BÂTIMENT DU LABORATOIRE</t>
  </si>
  <si>
    <t>DISPONIBILITÉ DES ÉQUIPEMENTS DE PRÉPARATION DES MILIEUX</t>
  </si>
  <si>
    <t>Plages définies</t>
  </si>
  <si>
    <t>GESTION de L'AUTOCLAVE</t>
  </si>
  <si>
    <t>CHAMPS DE DONNÉES DE L'ÉCHANTILLON</t>
  </si>
  <si>
    <t>Champs de données du TSA</t>
  </si>
  <si>
    <t>CONNECTIVITE DE L'INTERFACE</t>
  </si>
  <si>
    <t>SAISIE DES DEMANDES</t>
  </si>
  <si>
    <t>PARTAGE DE DONNÉES DE RAM</t>
  </si>
  <si>
    <t>FORMATION / COMPÉTENCE DU PERSONNEL DE LABORATOIRE</t>
  </si>
  <si>
    <t>ÉVALUATION EXTERNE DE LA QUALITÉ (EEQ)</t>
  </si>
  <si>
    <t>5- CONTROLE QUALITE - MILIEUX</t>
  </si>
  <si>
    <t xml:space="preserve">CQ DES MILIEUX DE ROUTINE </t>
  </si>
  <si>
    <t>Des contrôles positifs sont utilisés</t>
  </si>
  <si>
    <t>Des contrôles négatifs sont utilisés</t>
  </si>
  <si>
    <t>Le CQ est effectué sur chaque nouveau numéro de lot / série</t>
  </si>
  <si>
    <t>CQ POUR LA SEROLOGIE ENTERIQUE</t>
  </si>
  <si>
    <t>7- CONTRÔLE DE QUALITÉ - TSA</t>
  </si>
  <si>
    <t>TRAITEMENT DES HEMOCULTURES</t>
  </si>
  <si>
    <t>SYSTÈMES MANUELS POUR LES HEMOCULTURES</t>
  </si>
  <si>
    <t>10- METHODES D'IDENTIFICATION ET PON</t>
  </si>
  <si>
    <t>STAPHYLOCOCCUS AUREUS, MÉTHODES CLE D'IDENTIFICATION</t>
  </si>
  <si>
    <t>METHODES D'IDENTIFICATION PAR TROUSSE</t>
  </si>
  <si>
    <t>LECTURE DES RÉSULTATS DES TSA</t>
  </si>
  <si>
    <t>TEST DE RÉSISTANCE INDUCTIBLE À LA CLINDAMYCINE</t>
  </si>
  <si>
    <t>Gélose à la lysine et fer (GLF) ou lysine décarboxylase (LDC)</t>
  </si>
  <si>
    <t>Sérologie salmonelle</t>
  </si>
  <si>
    <t>Micropipettes (par exemple Eppendorf)</t>
  </si>
  <si>
    <t>Centrifugeuse (non utilisée pour les cultures de la tuberculose)</t>
  </si>
  <si>
    <t>Autoclave pour la préparation des milieux (autoclave "propre")</t>
  </si>
  <si>
    <t>Plaque chauffante avec agitateur magnétique (pour le mélange de milieux en poudre)</t>
  </si>
  <si>
    <t>bain-marie</t>
  </si>
  <si>
    <t>Instrument MALDI pour l'identification des organismes</t>
  </si>
  <si>
    <t>Instrument de PCR pour la détection des gènes de résistance aux antibiotiques</t>
  </si>
  <si>
    <t>Alerte système</t>
  </si>
  <si>
    <t>DONNEES DÉMOGRAPHIQUES DU LABORATOIRE</t>
  </si>
  <si>
    <t>Evaluateur 1 (nom et affiliation)</t>
  </si>
  <si>
    <t>Evaluateur 2 (nom et affiliation)</t>
  </si>
  <si>
    <t>Evaluateur 3 (nom et affiliation)</t>
  </si>
  <si>
    <t>Date de l'évaluation (jj / mm / aaaa)</t>
  </si>
  <si>
    <t>Chef du laboratoire de microbiologie</t>
  </si>
  <si>
    <t>Scientifique du laboratoire</t>
  </si>
  <si>
    <t>Responsalbe de la salle de la culture</t>
  </si>
  <si>
    <t>5. Laboratoire de référence au sein d'un institut de santé publique</t>
  </si>
  <si>
    <t>CATALOGUE D'ANALYSES ET CHARGE DE TRAVAIL</t>
  </si>
  <si>
    <t>Identification et / ou TSA d'isolats provenant d'autres laboratoires</t>
  </si>
  <si>
    <t>MÉTHODES DE TSA / RAM ET CHARGE DE TRAVAIL</t>
  </si>
  <si>
    <t>Quelles méthodes de TSA manuelles sont utilisées?</t>
  </si>
  <si>
    <t>Quelles méthodes de TSA automatisées sont utilisées?</t>
  </si>
  <si>
    <t>ERC / Carbapénémases</t>
  </si>
  <si>
    <t xml:space="preserve"> FORMATION DU PERSONNEL DE LABORATOIRE</t>
  </si>
  <si>
    <t>Nombre d'employés ayant suivi une formation en microbiologie ou médecine de laboratoire</t>
  </si>
  <si>
    <t>Proportion de personnel ayant suivi une formation en microbiologie ou médecine de laboratoire</t>
  </si>
  <si>
    <t>Nombre d'employés ayant un diplôme ou plus</t>
  </si>
  <si>
    <t>Nombre d'employés avec moins qu'un diplôme</t>
  </si>
  <si>
    <t>Proportion de personnel ayant un diplôme ou plus</t>
  </si>
  <si>
    <t>Hemocultures</t>
  </si>
  <si>
    <t>nbr cultures l'an dernier</t>
  </si>
  <si>
    <t>nbr organismes l'année dernière</t>
  </si>
  <si>
    <t>nbr d'employés</t>
  </si>
  <si>
    <t>Observez les paillasses du laboratoire, sont-elles:</t>
  </si>
  <si>
    <t>Séparées des zones de soins aux patients</t>
  </si>
  <si>
    <t>Organisées avec un encombrement minimal?</t>
  </si>
  <si>
    <t>Adéquatement ventilées?</t>
  </si>
  <si>
    <t>Adéquatement éclairées?</t>
  </si>
  <si>
    <t>Tous les équipements critiques sont-ils connectés à des dispositifs d'alimentation sans coupure (UPS)? (Ceux-ci fournissent une alimentation temporaire jusqu'à ce que le générateur puisse être mis en route)</t>
  </si>
  <si>
    <t>DISPONIBILITÉ DE L'ÉQUIPEMENT GÉNÉRAL</t>
  </si>
  <si>
    <t>Autoclave pour la préparation du milieux (autoclave "propre")</t>
  </si>
  <si>
    <t>Le laboratoire prépare-t-il des milieux ou de l'eau distillée? (par exemple, gélose au sang, gélose Mueller Hinton, flacons d'hémoculture)</t>
  </si>
  <si>
    <t>Indiquez si des thermomètres manuels (non numériques) sont présents à l'intérieur de chaque équipement. (Entrez NA si le laboratoire n'a pas cet équipement.)</t>
  </si>
  <si>
    <t>Observez si les plages de température acceptables minimales et maximales ont été clairement définies dans les feuilles d'enregistrement pour les zones / équipements suivants et si les contrôles de température sont documentés quotidiennement. Cochez NA si l'équipement en question n'est pas utilisé dans le laboratoire.</t>
  </si>
  <si>
    <t>GESTION DE L'AUTOCLAVE</t>
  </si>
  <si>
    <t>En cas de défaillance prolongée de l'instrument, un plan d'urgence est-il en place pour fournir un service de bactériologie ininterrompu?</t>
  </si>
  <si>
    <t>Au cours des 6 derniers mois, le laboratoire a-t-il connu des ruptures de stock de milieux? (Par exemple, poudre, sang de mouton, autres additifs, milieu en tube)</t>
  </si>
  <si>
    <t>Au cours des 6 derniers mois, le laboratoire a-t-il connu des ruptures de stock de cartes / plaques d'identification ou TSA pour les instruments automatisés?</t>
  </si>
  <si>
    <t>En cas de rupture de stock, un plan d’urgence est-il en place pour fournir un service de bactériologie ininterrompu?</t>
  </si>
  <si>
    <t>Standard: Les services de test ne doivent pas être interrompus en raison de ruptures de stock. Les laboratoires doivent rechercher toutes les options pour emprunter des stocks auprès d’un autre laboratoire ou renvoyer des échantillons vers un autre centre d’analyse en attendant que la rupture de stock soit résolue.</t>
  </si>
  <si>
    <t>Standard: Tous les trousses de réactifs et de tests utilisés, ainsi que ceux en stock, doivent respecter les dates d'expiration spécifiées par le fabricant. Les stocks périmés ne doivent pas être utilisés et doivent être documentés avant leur élimination.</t>
  </si>
  <si>
    <t>Veuillez indiquer "insuffisant" si la quantité d'équipement fonctionnel présent est insuffisante pour le volume d'analyse effectué par le laboratoire.</t>
  </si>
  <si>
    <t>Si oui, veuillez enregistrer le nom dans les commentaires. VEUILLEZ NOTER: WHONET n’est pas un SIL</t>
  </si>
  <si>
    <t>Observez la saisie de données dans le SIL. Des champs de données individuels sont-ils présents pour chacun des éléments suivants?</t>
  </si>
  <si>
    <t>Type d'échantillon (par exemple plaie)</t>
  </si>
  <si>
    <t>Date de réception de l'échantillon</t>
  </si>
  <si>
    <t>Heure de réception de l'échantillon</t>
  </si>
  <si>
    <t>CHAMPS DE DONNEES D'OBSERVATION POUR LA CULTURE</t>
  </si>
  <si>
    <t>Observez la saisie des données de culture dans le SIL. Des champs de données individuels sont-ils présents pour chacun des éléments suivants?</t>
  </si>
  <si>
    <t>Coloration de Gram de l'échantillon (par exemple, coloration de l'expectoration)</t>
  </si>
  <si>
    <t>Quantité de cellules épithéliales par champ à un faible grossissement</t>
  </si>
  <si>
    <t>Quantité de PNN (globules blancs) par champ à un faible grossissement</t>
  </si>
  <si>
    <t>Quantité de cellules bactériennes par champ à un fort grossissement</t>
  </si>
  <si>
    <t>Coloration de Gram de colonies bactériennes</t>
  </si>
  <si>
    <t>Le logiciel SIL interprète-t-il automatiquement les CIM en Sensible, Intermédiaire, Résistant?</t>
  </si>
  <si>
    <t>Le SIL peut-il dupliquer les données en fonction de certains critères (par exemple, identification du patient, organisme, date du spécimen)?</t>
  </si>
  <si>
    <t>Le SIL peut-il produire un rapport d'antibiogramme cumulatif?</t>
  </si>
  <si>
    <t>Le SIL peut-il s’interfacer avec des instruments de TSA automatisés (Vitek, Phoenix, SIRScan, BIOMIC, par exemple)?</t>
  </si>
  <si>
    <t>Le SIL peut-il exporter des listes de lignes de données vers des fichiers .txt ou .csv?</t>
  </si>
  <si>
    <t>Si le laboratoire utilise un instrument de TSA automatisé, décrivez le flux de données entre le SIL et le logiciel de l'instrument.</t>
  </si>
  <si>
    <t>3: Unidirectionnel: les informations du patient transitent du SIL dans le logiciel de l'instrument, mais les résultats ne sont pas retransmis dans le SIL</t>
  </si>
  <si>
    <t>4: Unidirectionnel: les résultats sont transmis du logiciel de l'instrument au SIL mais les informations patient ne peuvent pas être transmises du SIL au logiciel de l'instrument.</t>
  </si>
  <si>
    <t>4: Unidirectionnel: les résultats du patient sont transmis du SIL au SIS, mais les données démographiques des patients ne peuvent pas être transmis du SIS au SIL</t>
  </si>
  <si>
    <t>Remarque: toutes les questions ne concernent que les échantillons de patients cliniques, PAS les échantillons destinés à la recherche.</t>
  </si>
  <si>
    <t>Les numéros d'échantillon sont-ils attribués de manière à ce que deux échantillons ne reçoivent pas le même numéro pendant une année?</t>
  </si>
  <si>
    <t>Date de naissance du patient ou âge</t>
  </si>
  <si>
    <t>Origine de l'échantillon / site corporel (par exemple bras)</t>
  </si>
  <si>
    <t>Heure du prélèvement de l'échantillon</t>
  </si>
  <si>
    <t>Demande d'analyse (par exemple culture et TSA)</t>
  </si>
  <si>
    <t>Nom du médecin qui a demandé l'analyse</t>
  </si>
  <si>
    <t>Examinez le processus de réception des échantillons / de la demande d'analyse. Les variables suivantes sont-elles saisies dans le journal de bord ou le système informatique?</t>
  </si>
  <si>
    <t>Méthode TSA utilisée pour chaque antibiotique (par exemple, Disk, Etest, Instrument)</t>
  </si>
  <si>
    <t>1: Système d'information de laboratoire (SIL)</t>
  </si>
  <si>
    <t>4: Une combinaison d'enregistrements manuscrits et électroniques</t>
  </si>
  <si>
    <t>1: Impression à partir du système d'information de laboratoire</t>
  </si>
  <si>
    <t>2: Impression à partir de l'instrument d'identification / TSA (par exemple Vitek, Phoenix, etc.)</t>
  </si>
  <si>
    <t>3: Impression à partir d’un programme informatique autre que le SIL (par exemple, Word, Excel)</t>
  </si>
  <si>
    <t>Les rapports TSA sont-ils conservés pendant une période définie (au moins un an)?</t>
  </si>
  <si>
    <t>Le laboratoire ou l'installation dispose-t-il d'une politique et / ou d'une PON sur la sauvegarde et la restauration de données?</t>
  </si>
  <si>
    <t>Les ordinateurs de laboratoire disposent-ils de systèmes d'exploitation originaux (non piratés)?</t>
  </si>
  <si>
    <t>PARTAGE DE DONNÉES CONCERNANT LA RAM</t>
  </si>
  <si>
    <t>Le laboratoire est-il actuellement membre d'un système de surveillance pour la RAM?</t>
  </si>
  <si>
    <t>Laquelle des méthodes suivantes est actuellement utilisée pour soumettre des données au (x) réseau (s) de surveillance pour la RAM?</t>
  </si>
  <si>
    <t>Plus d'un peut être utilisé. Si le laboratoire ne participe pas actuellement à la surveillance de la RAM, sélectionnez NA.</t>
  </si>
  <si>
    <t>Le laboratoire envoie des formulaires papier à un coordinateur de la RAM</t>
  </si>
  <si>
    <t>Le laboratoire exporte un fichier à partir du SIL</t>
  </si>
  <si>
    <t>Il manquait dans le fichier d'exportation SIL certains des champs de données obligatoires</t>
  </si>
  <si>
    <t>Le fichier d'exportation SIL a fusionné / combiné différents champs de données dans une seule colonne</t>
  </si>
  <si>
    <t>Le laboratoire a-t-il un responsable qualité officiellement désigné?</t>
  </si>
  <si>
    <t>Existe-t-il une documentation montrant que les responsables de la qualité et les points focaux ont reçu une formation appropriée sur les systèmes de gestion de la qualité (SGQ)?</t>
  </si>
  <si>
    <t>À quelle fréquence un superviseur ou un responsable de la qualité examine-t-il les résultats des CQ  des milieux, de l'identification et TSA?</t>
  </si>
  <si>
    <t>1: Oui, pour tous les résultats de CQ - 2: Oui, mais seulement pour certains résultats de CQ - 3: Non</t>
  </si>
  <si>
    <t>Existe-t-il des documents montrant que le superviseur / responsable de la qualité a reçu une formation sur la manière de résoudre efficacement les problèmes de CQ?</t>
  </si>
  <si>
    <t>Un superviseur ou un représentant qualifié examine-t-il chaque jour les résultats de culture positifs?</t>
  </si>
  <si>
    <t>Est-ce qu'au moins 50% du personnel technique possède une formation théorique en microbiologie ou en médecine de laboratoire? (Voir le nombre dans la colonne D)</t>
  </si>
  <si>
    <t>Le laboratoire dispose-t-il d'une documentation à jour indiquant les paillasses et analyses auxquels chaque membre du personnel a été formé et autorisé à travailler de manière indépendante? (Examiner ces enregistrements)</t>
  </si>
  <si>
    <t>Hemoculture</t>
  </si>
  <si>
    <t>ANALYSE DES PANNES, RÉSOLUTION DE PROBLÈMES ET DES CAUSES PROFONDES</t>
  </si>
  <si>
    <t>Une analyse des causes profondes est-elle effectuée lorsque des résultats de CQ inacceptables sont obtenus? (Demandez de voir un exemple récent)</t>
  </si>
  <si>
    <t>Les actions correctives basées sur les résultats de l'analyse des causes profondes est-elle documentée?</t>
  </si>
  <si>
    <t>Les résultats des patients sont-ils rapportés si le CQ du millieux, la méthode identification ou la méthode TSA ne permet pas d'obtenir des résultats acceptables?</t>
  </si>
  <si>
    <t>Cochez NA si le laboratoire n'utilise pas d'instrument automatisé</t>
  </si>
  <si>
    <t>Si le laboratoire ne participe pas à un programme de EEQ, quelle en est la raison? (Informatif, ne sera pas noté)</t>
  </si>
  <si>
    <t>Les méthodes d'analyse utilisées sur les isolats d'EEQ sont-elles les mêmes que celles utilisées pour les isolats de patients de routine?</t>
  </si>
  <si>
    <t>Le laboratoire effectue-t-il des analyses supplémentaires sur les isolats d'EEQ par rapport à ce qui serait réalisé sur un isolat typique de patient?</t>
  </si>
  <si>
    <t>Le laboratoire a-t-il déjà appelé un autre laboratoire pour demander quel était le résultat de leur d'EEQ avant de le soumettre?</t>
  </si>
  <si>
    <t>Une action corrective basée sur les résultats de l'analyse des causes profondes est-elle documentée?</t>
  </si>
  <si>
    <t>Existe-t-il des preuves que le superviseur ou le responsable de la qualité a reçu une formation adéquate sur la manière d'effectuer une analyse des causes profondes des échecs de l'EEQ?</t>
  </si>
  <si>
    <t>5- PREPARATION DES MILIEUX ET CONTROLE DE QUALITE</t>
  </si>
  <si>
    <t>Est-ce que tout les préparation de milieux reportent ce qui suit?</t>
  </si>
  <si>
    <t>Quantité préparée</t>
  </si>
  <si>
    <t>PREPARATION GENERALE DES MILIEUX</t>
  </si>
  <si>
    <t>Les milieux sont-ils préparés dans une pièce séparée, en dehors de la pièce où les échantillons et les cultures sont traités?</t>
  </si>
  <si>
    <t>Les milieux sont-ils préparés dans une salle blanche?</t>
  </si>
  <si>
    <t>Les boîtes sont-elles rangées dans des sacs pour éviter la déshydratation?</t>
  </si>
  <si>
    <t>Si le laboratoire ou la structure produit sa propre eau distillée ou désionisée, des registres de contrôle de la qualité sont-ils présents pour les éléments suivants?</t>
  </si>
  <si>
    <t>La qualité du milieux est-elle contrôlée en utilisant les souches ATCC ou dérivées d'ATCC?</t>
  </si>
  <si>
    <t>Les enregistrements de contrôle de la qualité des géloses au sang démontrent-ils que leur aptitude à soutenir la croissance d'organismes fastidieux tels que Streptococcus pneumoniae est vérifiée?</t>
  </si>
  <si>
    <t>Les géloses MacConkey (MAC) et Eosin methylene Blue (EMB) contiennent des sels biliaires et / ou des colorants toxiques pour les bactéries à Gram positif lorsqu'ils sont fabriqués correctement. Les enregistrements de contrôle de qualité pour les boîtes MAC et / ou EMB démontrent-ils que chaque lot / série est testé en utilisant un organisme Gram positif?</t>
  </si>
  <si>
    <t>Les enregistrements de contrôle de qualité pour les géloses sélectives (par exemple XLD, SS, HE) démontrent-ils que leur aptitude à supprimer la croissance des organismes à Gram positif est vérifiée?</t>
  </si>
  <si>
    <t xml:space="preserve">PREPARATION ET CQ DES MILIEUX MULLER HINTON </t>
  </si>
  <si>
    <t>Les boîtes sont-elles conservées entre 2 et 8 ° C jusqu'à leur utilisation?</t>
  </si>
  <si>
    <t>Les boîtes sont-elles rangées dans des sacs / containers pour éviter la déshydratation?</t>
  </si>
  <si>
    <t>Vérifiez NA si le laboratoire n'utilise pas de MHB</t>
  </si>
  <si>
    <t>Quel bouillon de base est utilisé? (Le bouillon doit permettre la croissance d'un large éventail d'espèces bactériennes)</t>
  </si>
  <si>
    <t>1-Infusion cœur cerveau, 2-peptone supplémentée, 3-digestion soja-caséine (soja tryptique), 4-thioglycolate, 5-thiol, 6-Colombia, 7-Brucella, 8-autres, NA</t>
  </si>
  <si>
    <t>Une inspection visuelle est réalisée et documentée</t>
  </si>
  <si>
    <t>La capacité à favoriser la croissance de Streptococcus pneumoniae est vérifiée</t>
  </si>
  <si>
    <t>CQ POUR LA COLORATION DE GRAM  et étiquetage et stockage des réactifs</t>
  </si>
  <si>
    <t>Le CQ est-il effectué et les résultats sont-ils enregistrés pour chaque nouvelle préparation ou numéro de lot de réactifs de la coloration de Gram?</t>
  </si>
  <si>
    <t>1: Oui - 2: Partiellement - 3: Non</t>
  </si>
  <si>
    <t>Standard: CAP MIC.21540, MIC.21624 Toutes les procédures de coloration (coloration de Gram, colorations spéciales et colorations fluorescentes) doivent être vérifiées et les résultats enregistrés pour chaque nouveau lot de coloration.</t>
  </si>
  <si>
    <t>Le contrôle qualité de la coloration de Gram utilise-t-il des organismes témoins positifs et négatifs?</t>
  </si>
  <si>
    <t>REMARQUE: cette question ne concerne que les milieux en tube et les réactifs liquides utilisés par le laboratoire.</t>
  </si>
  <si>
    <t>Un contrôle positif est utilisé</t>
  </si>
  <si>
    <t>Un contrôle négatif est utilisé</t>
  </si>
  <si>
    <t>Un CQ est effectué sur chaque nouveau numéro de lot / série</t>
  </si>
  <si>
    <t>Un CQ est réalisé à l'aide de souches ATCC ou dérivées d'ATCC</t>
  </si>
  <si>
    <t>Agglutination au latex pour le staphylocoque</t>
  </si>
  <si>
    <t>Standard: CAP MIC.21624 Les contrôles positifs et négatifs doivent être testés et enregistrés pour toutes les procédures d'analyse différentiel. Les contrôles doivent être effectués et enregistrés aux intervalles périodiques spécifiés pour les tests.</t>
  </si>
  <si>
    <t>CQ DE LA SEROLOGIE ENTERIQUE</t>
  </si>
  <si>
    <t> Si les tests sérologiques ne sont pas effectués, cochez NA.</t>
  </si>
  <si>
    <t>CQ DES TROUSSES D'IDENTIFICATION COMMERCIALES ET SYSTÈMES D'IDENTIFICATION AUTOMATISÉS</t>
  </si>
  <si>
    <t>Examiner les enregistrements de contrôle qualité pour les trousses d'identification d'organismes commerciaux (par exemple, API, Liofilchem, RapID)</t>
  </si>
  <si>
    <t>Le contrôle qualité est-il effectué sur chaque nouveau numéro de lot / nouvel arrivage avant la mise en service des trousses conformément aux recommandations du fabricant?</t>
  </si>
  <si>
    <t>En suivant les instructions du fabricant, toutes les souches ATCC recommandées sont-elles utilisées pour les trousses d’identification?</t>
  </si>
  <si>
    <t>Le contrôle qualité est-il effectué sur chaque nouveau numéro de lot / arrivage de cartes/ plaques d'identification avant leur mise en service?</t>
  </si>
  <si>
    <t>En suivant les instructions du fabricant, toutes les souches ATCC recommandées sont-elles utilisées pour les cartes / plaques d’identification automatique des instruments?</t>
  </si>
  <si>
    <t>7- CONTROLE QUALITE - METHODES DE TSA</t>
  </si>
  <si>
    <t>Repiquage quotidien, ou «F3», éliminé après une journée d'utilisation.</t>
  </si>
  <si>
    <t>SOUCHES DE RÉFÉRENCE POUR LES TSA SPÉCIAUX</t>
  </si>
  <si>
    <t>Ces souches de référence pour les TSA spéciaux sont-elles maintenues à &lt;-60 ° C?</t>
  </si>
  <si>
    <t xml:space="preserve">CQ DU TSA POUR LES METHODES DE DIFFUSION EN DISQUE </t>
  </si>
  <si>
    <t>Le laboratoire utilise-t-il la méthode de diffusion en disque pour le TSA?</t>
  </si>
  <si>
    <t xml:space="preserve">CQ DES MÉTHODES DE TSA AVEC BANDELETTES GRADUEES </t>
  </si>
  <si>
    <t>Le laboratoire utilise-t-il la méthode de la bandelettes graduées pour le TSA (Etest / Liofilechem)? (non noté)</t>
  </si>
  <si>
    <t>Est-ce que le CQ des bandelettes graduées est effectué avant de mettre en service les nouveaux numéros de lot / arrivage (Vérifiez les enregistrements de CQ pour confirmer)</t>
  </si>
  <si>
    <t>Le laboratoire utilise-t-il un iautomate pour effectuer le TSA? (par exemple, Vitek, Phoenix, Microscan, etc.)</t>
  </si>
  <si>
    <t>Les cartes / plaques d'antibiotiques sont-ils stockés aux températures recommandées par le fabricant?</t>
  </si>
  <si>
    <t>Le contrôle de qualité des systèmes de TSA automatisés est-il effectué à l'aide des souches de référence ATCC recommandées ci-dessous? (Vérifiez les enregistrements de CQ pour confirmer)</t>
  </si>
  <si>
    <t>La politique du laboratoire exige-t-elle que tous les échantillons soient accompagnés d'un formulaire de demande d'analyse approuvé par le laboratoire?</t>
  </si>
  <si>
    <t>Le laboratoire applique-t-il un système à deux identifiants? (Par exemple, le nom du patient et un identifiant numérique doivent figurer sur la demande et sur le échantillon)</t>
  </si>
  <si>
    <t>Lorsque le laboratoire de bactériologie est fermé, un autre service de laboratoire traite-t-il (ensemence t'il) les échantillons ou s'assure-t-il qu'ils sont stockés aux températures appropriées? (Sélectionnez NA si le laboratoire de bactériologie ne ferme pas)</t>
  </si>
  <si>
    <t>Le laboratoire stocke-t-il les échantillons correctement avant et après les analyses?</t>
  </si>
  <si>
    <t>Norme: ISO 15189: 5.4.1, 5.4.5, 5.4.7, 5.4.8, 5.4.10, 5.4.11, 5.4.13 Norme: ISO 15189: 5.2.9, 5.4.14, 5.7.3 Les échantillons doivent être conservés dans des conditions appropriées pour maintenir la stabilité de l'échantillon. Les échantillons qui ne sont plus nécessaires doivent être éliminés de manière sûre, conformément à la réglementation en matière de biosécurité</t>
  </si>
  <si>
    <t>Les échantillons non étiquetés sont-ils rejetés?</t>
  </si>
  <si>
    <t>Les échantillons mal étiquetés sont-ils rejetés?</t>
  </si>
  <si>
    <t>Les échantillons sont-ils rejetés s’il est prouvé qu’ils n’ont pas été maintenus dans de bonnes conditions pendant et avant le transport?</t>
  </si>
  <si>
    <t>Prélever avant d'administrer des antibiotiques au patient</t>
  </si>
  <si>
    <t>Si le transport est retardé, conservation au réfrigérateur pendant 24 heures.</t>
  </si>
  <si>
    <t>PRELEVEMENT D'ECHANTILLON ET TRANSPORT DE SELLES</t>
  </si>
  <si>
    <t>Des cultures quantitatives (comptage de colonies) sont-elles effectuées?</t>
  </si>
  <si>
    <t>Les techniciens ont-ils reçu une formation adéquate pour reconnaître un échantillon d’urine mal prélevé (prédominance de la flore fécale ou cutanée) en fonction des quantités, types et mélanges d’organismes présents?</t>
  </si>
  <si>
    <t>CULTURES DE SELLES pour Salmonella et Shigella</t>
  </si>
  <si>
    <t>Géloase de dépistage sélectif et différentiel pour Salmonella et Shigella (par exemple, gélose de Salmonella / Shigella, gélose Hektoen Enteric, gélose avec Xylose Lysine désoxycholate, ou gélose au citrate Deoxycholate)</t>
  </si>
  <si>
    <t>Les bases de données utilisées pour interpréter les résultats de la trousse (numéros "bionumber") sont-elles à jour?</t>
  </si>
  <si>
    <t>Lorsqu'un résultat d'identification (bionumber) n'atteint pas le seuil requis pour une identification acceptable, existe-t-il des preuves que des mesures appropriées sont prises, telles que la répétition du test par une autre méthode ou la réalisation de tests biochimiques supplémentaires?</t>
  </si>
  <si>
    <t>DIAGRAMMES D'IDENTIFICATION</t>
  </si>
  <si>
    <t>Les dessiccants changent-ils de couleur à mesure que le niveau d'humidité augmente (indiquant la nécessité de les remplacer ou de les recharger)?</t>
  </si>
  <si>
    <t>PRÉPARATION DES INOCULA</t>
  </si>
  <si>
    <t>Est-ce que le laboratoire mélange intentionnellement deux organismes différents dans le même inoculum pour le TSA?</t>
  </si>
  <si>
    <t>LECTURE DES RÉSULTATS DU TSA</t>
  </si>
  <si>
    <t>Les résultats du TSA sont-ils lus après moins de 16 heures d'incubation?</t>
  </si>
  <si>
    <t>Les résultats du TSA sont-ils lus après plus de 24 heures d'incubation?</t>
  </si>
  <si>
    <t>Si des colonies individuelles apparaissent dans les ellipses ou dans la zone d'inhibition, le laboratoire répète-t-il le test avec un nouveau repiquage d'une seule colonie de la boîte d'origine?</t>
  </si>
  <si>
    <t>Répondre à NA si le laboratoire n'utilise pas d'instrument automatisé pour le TSA</t>
  </si>
  <si>
    <t>Existe-t-il des preuves que le superviseur a reçu une formation appropriée sur la manière de reconnaître les résultats inhabituels du TSA?</t>
  </si>
  <si>
    <t>Demandez à voir la copie papier la plus récente de la norme. Est-ce qu'elle a moins de 3 ans?</t>
  </si>
  <si>
    <t>Pour les laboratoires qui utilise les seuils actuels en céphalosporine et en aztréonam, le CLSI et EUCAST ne recommandent plus les tests de routine du phénotype des BLSE. En outre, si des tests de BLSE sont effectués et que le test est positif, les interprétations pour les agents bêta-lactamines NE doivent PAS être modifiées de sensible à résistant. Le laboratoire a-t-il cessé de modifier les résultats des TSA sur la base des résultats pour les BLSE?</t>
  </si>
  <si>
    <t>Le laboratoire effectue-t-il des tests phénotypiques pour la production de BLSE? Y compris des disques, des bandelettes graduées ou un puits de dépistage dans un système automatisé.</t>
  </si>
  <si>
    <t>Quelles méthodes le laboratoire utilise-t-il pour le TSA de la colistine? (Cochez toutes les cases)</t>
  </si>
  <si>
    <t>Bandelette graduées (par exemple, Etest / Liofilchem)</t>
  </si>
  <si>
    <t>Test d'élution en disque de bouillon de colistine (CBDE)</t>
  </si>
  <si>
    <t>Les enregistrements indiquent-ils que le contrôle de la qualité pour le TSA de la colistine est effectué toutes les semaines ou à chaque fois que le test est effectué?</t>
  </si>
  <si>
    <t>Si le laboratoire utilise la microdilution en bouillon pour le TSA de la colistine, utilise-t-on du sulfate de colistine et non du méthane sulfonate de colistine (sulfométhate)?</t>
  </si>
  <si>
    <t>Le dérivé méthanesulfonate de la colistine ("cms") est un promédicament inactif qui se décompose lentement en solution et ne peut donc pas être utilisé pour le TSA.</t>
  </si>
  <si>
    <t>Si le laboratoire effectue la microdilution en bouillon (MDB) pour le TSA de la colistine, utilise-t-on un bouillon de Mueller Hinton avec des cations ajusté?</t>
  </si>
  <si>
    <t>Le laboratoire a-t-il informé le personnel médical des limitations et des risques associés au TSA de la colistine?</t>
  </si>
  <si>
    <t>1: Indiquez l’interprétation de l’oxacilline, quel que soit le résultat de la céfoxitine - 2: Indiquez l’interprétation de la céfoxitine, quel que soit le résultat de l’oxacilline - 3: Si l’un ou l’autre des médicaments est testé R, indiquez le résultat sous la forme R - NA: le laboratoire teste uniquement un de ces médicaments, pas les deux</t>
  </si>
  <si>
    <t>La boîte est-elle bien éclairée par la lumière réfléchie?</t>
  </si>
  <si>
    <t>Le laboratoire utilise-t-il la méthode de diffusion en disque pour tester l'un des antibiotiques suivants sur S.pneumo?</t>
  </si>
  <si>
    <t>Les enregistrements indiquent-ils que le contrôle de la qualité des tests de RIC est effectué toutes les semaines ou à chaque fois que le test est effectué?</t>
  </si>
  <si>
    <t>Passez en revue plusieurs rapports de TSA de patients pour E. coli. La même combinaison d'antibiotiques est-elle testée à chaque fois?</t>
  </si>
  <si>
    <t>Sang</t>
  </si>
  <si>
    <t>Le laboratoire dispose-t-il d'un logiciel permettant de produire un antibiogramme?</t>
  </si>
  <si>
    <t>Les données sont présentées sous forme de %  de S (et non pas de %  de R)</t>
  </si>
  <si>
    <t>Si l'hôpital dispose d'un tel comité, un microbiologiste en est-il membre?</t>
  </si>
  <si>
    <t>Trousse en cas de déversement</t>
  </si>
  <si>
    <t>Norme: ISO 15189: 5.2.10 Toutes les seringues, aiguilles, lancettes ou autres dispositifs tranchant capables de transmettre l'infection ne doivent être utilisées qu'une seule fois et jetés dans des récipients résistant à la perforation qui ne sont pas trop remplis. Les conteneurs pour objets pointus doivent être clairement identifiés pour avertir les personnes qui le manipulent du danger potentiel et doivent être situés dans des zones où les objets pointus sont couramment utilisés.</t>
  </si>
  <si>
    <t>Blouses</t>
  </si>
  <si>
    <t>Protection faciale pour les aérosols (masque, écran facial ou protection contre les éclaboussures)</t>
  </si>
  <si>
    <t>Les EPI sont-ils utilisés de manière appropriée et cohérente par le personnel de laboratoire? (Observez)</t>
  </si>
  <si>
    <t>Observez les réfrigérateurs et les congélateurs où sont stockés les milieux et les réactifs. Sont-ils:</t>
  </si>
  <si>
    <t>Désigné spécifiquement pour le stockage des milieux / réactifs?</t>
  </si>
  <si>
    <t>Exempts de nourriture du personnel?</t>
  </si>
  <si>
    <t>Exempts d'échantillons de patients?</t>
  </si>
  <si>
    <t>La désinfection des zones de travail (paillasse et hotte) est-elle documentée quotidiennement?</t>
  </si>
  <si>
    <t>BIOSÉCURITÉ: DOCUMENTATION ET FORMATION</t>
  </si>
  <si>
    <t>Capacités d'analyse</t>
  </si>
  <si>
    <t>Organisms/Chromagar</t>
  </si>
  <si>
    <t>Búsqueda de SARM para control de infecciones (Ej., Narinas, axilas, ingle)</t>
  </si>
  <si>
    <t>Does the lab perform colistin AST? (Not scored. If No, skip to next section.)</t>
  </si>
  <si>
    <t>¿Realiza el laboratorio PSA en colistin? (No puntuado. En caso negativo, pase a la siguiente sección).</t>
  </si>
  <si>
    <t>Workflow for subculturing and using reference strains</t>
  </si>
  <si>
    <t>as described in CLSI M02, Subchapter 4.4</t>
  </si>
  <si>
    <t>"F" indicates the frozen or freeze-dried state of the stock culture</t>
  </si>
  <si>
    <t>"1" indicates the first passage</t>
  </si>
  <si>
    <t>"2" indicates the second passage</t>
  </si>
  <si>
    <t>"3" indicates the third passage from stock culture</t>
  </si>
  <si>
    <t>QC Score</t>
  </si>
  <si>
    <t>SOP Score</t>
  </si>
  <si>
    <t>Biochemical Identification Reagents</t>
  </si>
  <si>
    <t>Réactifs d'identification biochimique</t>
  </si>
  <si>
    <t>Reactivos de identificación bioquímica</t>
  </si>
  <si>
    <t>1-anglais</t>
  </si>
  <si>
    <t>2- français</t>
  </si>
  <si>
    <t>3- espagnol</t>
  </si>
  <si>
    <t>Procédure de repiquage et d'utilisation des souches de référence</t>
  </si>
  <si>
    <t>comme décrit dans le guide CLSI M02, chapitre 4.4</t>
  </si>
  <si>
    <t>"1" indique le premier repiquage</t>
  </si>
  <si>
    <t>"2" indique le deuxième repiquage</t>
  </si>
  <si>
    <t>"3" indique le troisième repiquage deuis la souche mère</t>
  </si>
  <si>
    <t>WLSS</t>
  </si>
  <si>
    <t>WLVC</t>
  </si>
  <si>
    <t>WLYE</t>
  </si>
  <si>
    <t>WLCJ</t>
  </si>
  <si>
    <t>WLO157</t>
  </si>
  <si>
    <t>Q12.33</t>
  </si>
  <si>
    <t>Does the lab perform colistin AST?</t>
  </si>
  <si>
    <t>Biochemical identification QC score</t>
  </si>
  <si>
    <t>Biochemical identification SOP score</t>
  </si>
  <si>
    <t>BISOP1</t>
  </si>
  <si>
    <t>BISOP2</t>
  </si>
  <si>
    <t>BISOP3</t>
  </si>
  <si>
    <t>BISOP4</t>
  </si>
  <si>
    <t>BISOP5</t>
  </si>
  <si>
    <t>BISOP6</t>
  </si>
  <si>
    <t>BISOP7</t>
  </si>
  <si>
    <t>BISOP8</t>
  </si>
  <si>
    <t>BISOP9</t>
  </si>
  <si>
    <t>BISOP10</t>
  </si>
  <si>
    <t>BISOP11</t>
  </si>
  <si>
    <t>BISOP12</t>
  </si>
  <si>
    <t>BISOP13</t>
  </si>
  <si>
    <t>BISOP14</t>
  </si>
  <si>
    <t>BISOP15</t>
  </si>
  <si>
    <t>BISOP16</t>
  </si>
  <si>
    <t>BISOP17</t>
  </si>
  <si>
    <t>BISOP18</t>
  </si>
  <si>
    <t>BISOP19</t>
  </si>
  <si>
    <t>BISOP20</t>
  </si>
  <si>
    <t>BISOP21</t>
  </si>
  <si>
    <t>BISOP22</t>
  </si>
  <si>
    <t>BISOP23</t>
  </si>
  <si>
    <t>BISOP24</t>
  </si>
  <si>
    <t>BISOP25</t>
  </si>
  <si>
    <t>BIQC1</t>
  </si>
  <si>
    <t>BIQC2</t>
  </si>
  <si>
    <t>BIQC3</t>
  </si>
  <si>
    <t>BIQC4</t>
  </si>
  <si>
    <t>BIQC5</t>
  </si>
  <si>
    <t>BIQC6</t>
  </si>
  <si>
    <t>BIQC7</t>
  </si>
  <si>
    <t>BIQC8</t>
  </si>
  <si>
    <t>BIQC9</t>
  </si>
  <si>
    <t>BIQC10</t>
  </si>
  <si>
    <t>BIQC11</t>
  </si>
  <si>
    <t>BIQC12</t>
  </si>
  <si>
    <t>BIQC13</t>
  </si>
  <si>
    <t>BIQC14</t>
  </si>
  <si>
    <t>BIQC15</t>
  </si>
  <si>
    <t>BIQC16</t>
  </si>
  <si>
    <t>BIQC17</t>
  </si>
  <si>
    <t>BIQC18</t>
  </si>
  <si>
    <t>BIQC19</t>
  </si>
  <si>
    <t>BIQC20</t>
  </si>
  <si>
    <t>BIQC21</t>
  </si>
  <si>
    <t>BIQC22</t>
  </si>
  <si>
    <t>BIQC23</t>
  </si>
  <si>
    <t>BIQC24</t>
  </si>
  <si>
    <t>BIQC25</t>
  </si>
  <si>
    <t>Flujo de trabajo para el subcultivo y el uso de cepas de referencia</t>
  </si>
  <si>
    <t>como se describe en CLSI M02, subcapítulo 4.4</t>
  </si>
  <si>
    <t>“F” indica el estado congelado o liofilizado de los cultivos de reserva</t>
  </si>
  <si>
    <t>“1” indica el primer pase</t>
  </si>
  <si>
    <t>“2” indica el segundo pase</t>
  </si>
  <si>
    <t>“3” indica el tercer pase a partir del cultivo de reserva</t>
  </si>
  <si>
    <t>Bain-marie</t>
  </si>
  <si>
    <t>No</t>
  </si>
  <si>
    <t>Trigger</t>
  </si>
  <si>
    <t>Yes</t>
  </si>
  <si>
    <t>3 or 4</t>
  </si>
  <si>
    <t>9.29</t>
  </si>
  <si>
    <t>2 or 3</t>
  </si>
  <si>
    <t>12.35</t>
  </si>
  <si>
    <t>4.31</t>
  </si>
  <si>
    <t>CONCLUSIONS</t>
  </si>
  <si>
    <t>CONCLUSIONES</t>
  </si>
  <si>
    <t>CONCLUSÕES</t>
  </si>
  <si>
    <t>PHOTOGRAPHS</t>
  </si>
  <si>
    <t>PHOTOGRAPHIES</t>
  </si>
  <si>
    <t>FOTOGRAFÍAS</t>
  </si>
  <si>
    <t>FOTOGRAFIAS</t>
  </si>
  <si>
    <t>5- Other</t>
  </si>
  <si>
    <t>1-Inglês</t>
  </si>
  <si>
    <t>2-Francês</t>
  </si>
  <si>
    <t>3-Espanhol</t>
  </si>
  <si>
    <t>4- portugais</t>
  </si>
  <si>
    <t>4-portugues</t>
  </si>
  <si>
    <t>4-Português</t>
  </si>
  <si>
    <t>Avaliação Laboratorial</t>
  </si>
  <si>
    <t>da</t>
  </si>
  <si>
    <t xml:space="preserve">Resistência aos Antibióticos </t>
  </si>
  <si>
    <t>Fluxo de trabalho para a subcultura e uso de cepas de referência</t>
  </si>
  <si>
    <t>como descrito no CLSI M02, Subcapítulo 4.4</t>
  </si>
  <si>
    <t>"F" indique l'état de la souche de départ, congelée ou lyophilisée</t>
  </si>
  <si>
    <t>"F" indica o estado congelado ou liofilizado da cultura de estoque</t>
  </si>
  <si>
    <t>"1" indica a primeira passagem</t>
  </si>
  <si>
    <t>"2" indica a segunda passagem</t>
  </si>
  <si>
    <t>"3" indica a terceira passagem a partir da cultura de estoque</t>
  </si>
  <si>
    <t>Standardisation des McFarland avec une carte Wickerham</t>
  </si>
  <si>
    <t>Padrões de CQ de McFarland frente a um cartão Wickerham</t>
  </si>
  <si>
    <t>Évaluation de la capacité des laboratoires à tester l'antibiorésistance</t>
  </si>
  <si>
    <t xml:space="preserve">Avaliação da Capacidade do Laboratório para Detectar a  Resistência aos Antibióticos </t>
  </si>
  <si>
    <t>Atualizado em Agosto 2019 - Adaptação em Excel realizada pelo IQLS, em Agosto 2019</t>
  </si>
  <si>
    <t xml:space="preserve">Nome do Laboratório </t>
  </si>
  <si>
    <t>Endereço do Laboratório</t>
  </si>
  <si>
    <t>Cidade / Província / Distrito</t>
  </si>
  <si>
    <t>Data da Avaliação</t>
  </si>
  <si>
    <t>CATALOGUE D'ANALYSE ET CHARGE DE TRAVAIL ANNUELLE POUR LA CULTURE BACTERIENNE</t>
  </si>
  <si>
    <t>Hemoculturas</t>
  </si>
  <si>
    <t>Uroculturas</t>
  </si>
  <si>
    <t>Coproculturas</t>
  </si>
  <si>
    <t>Cultures de prélèvements de plaies</t>
  </si>
  <si>
    <t>Cultures de liquides biologiques stériles</t>
  </si>
  <si>
    <t>Culture de prélèvements génitaux</t>
  </si>
  <si>
    <t>Dépistage SARM (narines, aisselles, aine)</t>
  </si>
  <si>
    <t>Triagem para MRSA (narinas, axila, virilha)</t>
  </si>
  <si>
    <t>Dépistage EVR (écouvillonnage rectal)</t>
  </si>
  <si>
    <t>Triagem para VRE (swab retal)</t>
  </si>
  <si>
    <t>Dépistage ECR (écouvillonnage rectal)</t>
  </si>
  <si>
    <t>Triagem para CRE (swab retal)</t>
  </si>
  <si>
    <t>Identification et / ou TSA des souches provenant d'autres laboratoires</t>
  </si>
  <si>
    <t>Identificação e / ou TSA dos isolados enviados  por outros laboratórios</t>
  </si>
  <si>
    <t>Autres cultures localement importantes</t>
  </si>
  <si>
    <t xml:space="preserve">Outras culturas de importância local </t>
  </si>
  <si>
    <t>CARGA DE TRABALHO ANUAL DE TSA</t>
  </si>
  <si>
    <t>Automates disponibles pour le TSA</t>
  </si>
  <si>
    <t>Instrumento automatizado para TSA</t>
  </si>
  <si>
    <t xml:space="preserve">Disco-difusão </t>
  </si>
  <si>
    <t>Tira de Gradiente (ex.: Etest / Liofilchem)</t>
  </si>
  <si>
    <t>Microdiluição em caldo (placa de 96 poços)</t>
  </si>
  <si>
    <t>Macrodiluição em caldo (método do tubo)</t>
  </si>
  <si>
    <t>Diluição em ágar</t>
  </si>
  <si>
    <t>PESSOAL</t>
  </si>
  <si>
    <t>Título de Doutor em Microbiologia Médica / Análises Clínicas (PhD, MD)</t>
  </si>
  <si>
    <t>Título de Doutor, outra especialidade (PhD, MD)</t>
  </si>
  <si>
    <t>Postgraduate Master's degree in Microbiology or Med. Lab. Sciences</t>
  </si>
  <si>
    <t>Diplôme en microbiologie médicale / médecine de laboratoire</t>
  </si>
  <si>
    <t>Pós-graduação/ Mestrado em Microbiologia ou Análises Clínicas</t>
  </si>
  <si>
    <t>Pós-graduação/ Mestrado, outra especialidade</t>
  </si>
  <si>
    <t>Grad. Bacharel em Microbiologia ou Análises Clínicas</t>
  </si>
  <si>
    <t>Grad. Bacharel, outra especialidade</t>
  </si>
  <si>
    <t>Undergraduate Certificate/Diploma in Microbiology or Med. Lab. Sciences</t>
  </si>
  <si>
    <t>Certificado / Diploma em Microbiologia  ou Análises Clínicas</t>
  </si>
  <si>
    <t>Certificado ou Diploma, outra especialidade</t>
  </si>
  <si>
    <t>Ensino médio / Diploma do ensino secundário</t>
  </si>
  <si>
    <t>Formation au sein du laboratoire uniquement</t>
  </si>
  <si>
    <t xml:space="preserve">Somente experiência profissional </t>
  </si>
  <si>
    <t>Outro (especificar nos comentários)</t>
  </si>
  <si>
    <t>Proporção de pessoal com Doutorado em Microbiologia Médica ou Análises Clínicas</t>
  </si>
  <si>
    <t>Proporção de pessoal com Bacharelado ou superior</t>
  </si>
  <si>
    <t>NOMBRE D'ALERTE</t>
  </si>
  <si>
    <t>alertas rojas</t>
  </si>
  <si>
    <t>Alertas do sistema</t>
  </si>
  <si>
    <t>LOCAUX</t>
  </si>
  <si>
    <t>INSTALAÇÕES</t>
  </si>
  <si>
    <t>GESTÃO DE DADOS</t>
  </si>
  <si>
    <t>GARANTIA DA QUALIDADE</t>
  </si>
  <si>
    <t>PREPARAÇÃO DE MEIOS E CONTROLE DE QUALIDADE</t>
  </si>
  <si>
    <t>CQ DE L'IDENTIFICATION BACTERIENNE</t>
  </si>
  <si>
    <t xml:space="preserve">CQ DA ID </t>
  </si>
  <si>
    <t xml:space="preserve">CQ DO TSA </t>
  </si>
  <si>
    <t>COLETA, TRANSPORTE E GESTÃO DE AMOSTRAS</t>
  </si>
  <si>
    <t>PREPARATION</t>
  </si>
  <si>
    <t>PROCESSAMENTO</t>
  </si>
  <si>
    <t>IDENTIFICAÇÃO</t>
  </si>
  <si>
    <t xml:space="preserve">ASPECTOS BÁSICOS DO TSA </t>
  </si>
  <si>
    <t>RÈGLES D'EXPERTISE POUR LE TSA</t>
  </si>
  <si>
    <t>REGRAS DO ESPECIALISTA PARA TSA</t>
  </si>
  <si>
    <t>PANELS, STRATEGIE ET ANALYSE DES TSA</t>
  </si>
  <si>
    <t>POLITICA E ANÁLISE DE PAINÉIS DE TSA</t>
  </si>
  <si>
    <t xml:space="preserve">SEGURANÇA </t>
  </si>
  <si>
    <t>1- LOCAUX</t>
  </si>
  <si>
    <t>1- INSTALAÇÕES</t>
  </si>
  <si>
    <t>INSTALAÇÕES DO LABORATÓRIO</t>
  </si>
  <si>
    <t>ÉQUIPEMENT DISPONIBLE</t>
  </si>
  <si>
    <t>DISPONIBILIDADE DE EQUIPAMENTOS BÁSICOS</t>
  </si>
  <si>
    <t xml:space="preserve">DISPONIBILIDADE DE EQUIPAMENTOS PARA A PREPARAÇÃO DE MEIOS </t>
  </si>
  <si>
    <t>ENREGITREMENTS METROLOGIQUES</t>
  </si>
  <si>
    <t>REGISTROS DE CALIBRAÇÃO DE EQUIPAMENTOS</t>
  </si>
  <si>
    <t>TERMÔMETROS</t>
  </si>
  <si>
    <t>MONITORAMENTO DE TEMPERATURA E ATMOSFERA</t>
  </si>
  <si>
    <t>Températures enregistrées</t>
  </si>
  <si>
    <t>Intervalles définis</t>
  </si>
  <si>
    <t>Intervalos definidos</t>
  </si>
  <si>
    <t>GESTÃO DE AUTOCLAVE</t>
  </si>
  <si>
    <t>DISPONIBILITÉ ET MAINTENANCE DES AUTOMATES</t>
  </si>
  <si>
    <t xml:space="preserve">DISPONIBILIDADE E MANUTENÇÃO DE EQUIPAMENTOS AUTOMATIZADOS </t>
  </si>
  <si>
    <t>INVENTAIRE ET GESTION DES STOCKS</t>
  </si>
  <si>
    <t>INVENTÁRIO &amp; RUPTURAS DE ESTOQUE</t>
  </si>
  <si>
    <t>2- SISTEMA DE INFORMAÇÃO LABORATORIAL</t>
  </si>
  <si>
    <t xml:space="preserve">CAMPOS PARA DADOS DEMOGRÁFICOS </t>
  </si>
  <si>
    <t xml:space="preserve">CAMPOS PARA DADOS DE AMOSTRA </t>
  </si>
  <si>
    <t>CAMPOS DE DADOS DE OBSERVAÇÃO DAS CULTURAS</t>
  </si>
  <si>
    <t>CAMPOS PARA DADOS DO TSA</t>
  </si>
  <si>
    <t>CAPACIDADES DE NOTIFICAÇÃO E DE TRANSFERÊNCIA DE DADOS</t>
  </si>
  <si>
    <t>CONECTIVIDADE DE INTERFACE</t>
  </si>
  <si>
    <t xml:space="preserve">3- GESTÃO DE DADOS </t>
  </si>
  <si>
    <t>IDENTIFICAÇÃO DE PACIENTES E AMOSTRAS</t>
  </si>
  <si>
    <t xml:space="preserve">FORMULÁRIO DE SOLICITAÇÃO DA AMOSTRA </t>
  </si>
  <si>
    <t>RECEPÇÃO DE PEDIDOS</t>
  </si>
  <si>
    <t>OBSERVAÇÕES DA CULTURA</t>
  </si>
  <si>
    <t>RESULTAT ET COMPTE-RENDU DU TSA</t>
  </si>
  <si>
    <t>NOTIFICAÇÃO DE RESULTADOS DO TSA</t>
  </si>
  <si>
    <t xml:space="preserve">SEGURANÇA E  CÓPIA DE SEGURANÇA DOS DADOS </t>
  </si>
  <si>
    <t>TRANSFERÊNCIA DE DADOS DE RAM</t>
  </si>
  <si>
    <t>4-GARANTIA DA QUALIDADE</t>
  </si>
  <si>
    <t>STRUCTURE DU SYSTÈME QUALITÉ  / BASES</t>
  </si>
  <si>
    <t>ESTRUTURA DE QUALIDADE / BÁSICOS</t>
  </si>
  <si>
    <t xml:space="preserve">EDUCAÇÃO/ TREINAMENTO/ COMPETÊNCIA DO PESSOAL DE LABORATÓRIO </t>
  </si>
  <si>
    <t>DEPANNAGE, RÉSOLUTION DE PROBLÈMES ET ANALYSE DES CAUSES PROFONDES</t>
  </si>
  <si>
    <t xml:space="preserve">RESOLUÇÃO DE PROBLEMAS E ANÁLISE DE CAUSA RAIZ </t>
  </si>
  <si>
    <t>AVALIAÇÃO EXTERNA DE QUALIDADE (AEQ)</t>
  </si>
  <si>
    <t xml:space="preserve">5-CONTROLE DE QUALIDADE- MEIOS </t>
  </si>
  <si>
    <t>POS de préparation des milieux</t>
  </si>
  <si>
    <t>POPs PARA PREPARAÇÃO DE MEIOS</t>
  </si>
  <si>
    <t>PREPARATION DES MILIEUX (GENERAL)</t>
  </si>
  <si>
    <t xml:space="preserve">PREPARAÇÃO GERAL DE MEIOS </t>
  </si>
  <si>
    <t>PREPARATION D'EAU DISTILLEE / DEIONISEE</t>
  </si>
  <si>
    <t xml:space="preserve">PREPARAÇÃO DE ÁGUA DESTILADA / DEIONIZADA </t>
  </si>
  <si>
    <t xml:space="preserve">CQ DES MILIEUX EN ROUTINE </t>
  </si>
  <si>
    <t xml:space="preserve">CQ DOS MEIOS DE ROTINA </t>
  </si>
  <si>
    <t>PREPARATION ET CQ DES GELOSES DE MULLER HINTON</t>
  </si>
  <si>
    <t>PREPARAÇÃO E CQ DE MEIOS MULLER HINTON</t>
  </si>
  <si>
    <t>PRÉPARATION ET CQ DES FLACONS D'HEMOCULTURE</t>
  </si>
  <si>
    <t xml:space="preserve">PREPARAÇÃO E CQ  DE FRASCOS DE HEMOCULTURAS </t>
  </si>
  <si>
    <t>6-CONTROLE DE QUALIDADE - IDENTIFICAÇÃO</t>
  </si>
  <si>
    <t>CQ POUR LA COLORATION DE GRAM et étiquetage/ stockage des réactifs</t>
  </si>
  <si>
    <t xml:space="preserve">CQ DA COLORAÇÃO DE GRAM, RÓTULO E ARMAZENAMENTO DE REAGENTES </t>
  </si>
  <si>
    <t>CQ DES MÉTHODES BIOCHIMIQUES D'IDENTIFICATION</t>
  </si>
  <si>
    <t>CQ DE MÉTODOS BIOQUÍMICOS INDIVIDUAIS</t>
  </si>
  <si>
    <t>Os controlos positivos estão em uso</t>
  </si>
  <si>
    <t>Os controlos negativos estão em uso</t>
  </si>
  <si>
    <t xml:space="preserve">O CQ é realizado em cada novo lote/ número de lote </t>
  </si>
  <si>
    <t>O CQ é realizado utilizando cepas ATCC ou cepas derivadas de  ATCC</t>
  </si>
  <si>
    <t>CQ DE PROVAS SOROLÓGICAS PARA PATÓGENOS ENTÉRICOS</t>
  </si>
  <si>
    <t>CQ DES KITS D'IDENTIFICATION COMMERCIAUX ET SYSTÈMES D'IDENTIFICATION AUTOMATISÉS</t>
  </si>
  <si>
    <t xml:space="preserve">CQ DE KITS COMERCIAIS DE IDENTIFICAÇÃO E SISTEMAS DE IDENTIFICAÇÃO AUTOMATIZADOS </t>
  </si>
  <si>
    <t>7-CONTROLE DE QUALIDADE - TSA</t>
  </si>
  <si>
    <t>SOUCHE DE REFERENCE UTLISEES EN ROUTINE POUR LES TSA</t>
  </si>
  <si>
    <t>CEPAS DE REFERÊNCIA PARA TSA DE ROTINA</t>
  </si>
  <si>
    <t>SOUCHES DE RÉFÉRENCE SPECIFIQUES</t>
  </si>
  <si>
    <t>CEPAS DE REFERÊNCIA PARA TSA ESPECIAIS</t>
  </si>
  <si>
    <t>CQ DES TSA PAR METHODE DE DIFFUSION EN DISQUE</t>
  </si>
  <si>
    <t xml:space="preserve">CQ DOS MÉTODOS DE TSA COM DISCO-DIFUSÃO </t>
  </si>
  <si>
    <t>CQ DES TSA PAR LA MÉTHODES DES BANDELETTES GRADUEES</t>
  </si>
  <si>
    <t>CQ DOS MÉTODOS DE TSA COM TIRAS DE GRADIENTE</t>
  </si>
  <si>
    <t>CQ DES SYSTÈMES DE TSA AUTOMATISÉS</t>
  </si>
  <si>
    <t>CQ DOS SISTEMAS AUTOMATIZADOS DE TSA</t>
  </si>
  <si>
    <t>8- COLETA, TRANSPORTE E GESTÃO DE AMOSTRAS</t>
  </si>
  <si>
    <t>GESTÃO DE AMOSTRAS</t>
  </si>
  <si>
    <t>REJEIÇÃO DE AMOSTRAS</t>
  </si>
  <si>
    <t xml:space="preserve">COLETA E TRANSPORTE DE AMOSTRAS DE SANGUE </t>
  </si>
  <si>
    <t>RECUEIL ET TRANSPORT D'ECHANTILLON D'URINE</t>
  </si>
  <si>
    <t xml:space="preserve">COLETA E TRANSPORTE DE AMOSTRAS DE URINA </t>
  </si>
  <si>
    <t>RECUEIL  ET TRANSPORT D'ECHANTILLON DE SELLES</t>
  </si>
  <si>
    <t xml:space="preserve">COLETA E TRANSPORTE DE AMOSTRAS DE FEZES </t>
  </si>
  <si>
    <t>9- TECHNIQUE</t>
  </si>
  <si>
    <t>9- PROCESSAMENTO</t>
  </si>
  <si>
    <t>PROCESSAMENTO DE HEMOCULTURAS</t>
  </si>
  <si>
    <t xml:space="preserve">SISTEMAS MANUAIS DE HEMOCULTURA </t>
  </si>
  <si>
    <t>EXAMEN BACTERIOLOGIQUE DES URINES</t>
  </si>
  <si>
    <t>UROCULTURAS</t>
  </si>
  <si>
    <t>COPROCULTURE pour recherche de Salmonella et Shigella</t>
  </si>
  <si>
    <t>COPROCULTURAS para Salmonella e Shigella</t>
  </si>
  <si>
    <t xml:space="preserve">10-POPs e MÉTODOS DE IDENTIFICAÇÃO </t>
  </si>
  <si>
    <t>MÉTHODES D'IDENTITIFICATION CONVENTIONNELLES - RÉSUMÉ DE L'EVALUATION DES PON</t>
  </si>
  <si>
    <t>MÉTODOS CONVENCIONAIS  DE IDENTIFICAÇÃO- RESUMO DE PONTUAÇÃO DOS POPs</t>
  </si>
  <si>
    <t>Complètement mis en œuvre *, POS à jour</t>
  </si>
  <si>
    <t>Completamente implementado *, POP atualizado</t>
  </si>
  <si>
    <t>la POS est facilement disponible ** pour le personnel à la paillasse</t>
  </si>
  <si>
    <t>O POP está facilmente disponível ** ao pessoal de bancada do laboratório</t>
  </si>
  <si>
    <t>la POS définit les organismes utilisés pour le contrôle qualité, la fréquence et les résultats attendus</t>
  </si>
  <si>
    <t>O POP define os organismos de CQ, frequência e resultados esperados</t>
  </si>
  <si>
    <t>la POS fournit des instructions étape après étape pour l'exécution du test</t>
  </si>
  <si>
    <t>O POP fornece instruções passo a passo para a realização do teste</t>
  </si>
  <si>
    <t>La POS fournit des instructions étape après étape pour l'interprétation du test</t>
  </si>
  <si>
    <t>O POP fornece instruções passo a passo para a interpretação do teste</t>
  </si>
  <si>
    <t>STAPHYLOCOCCUS AUREUS, OUTROS MÉTODOS DE IDENTIFICAÇÃO</t>
  </si>
  <si>
    <t>STREPTOCOCCUS PNEUMONIAE, MÉTODOS CONVENCIONAIS DE IDENTIFICAÇÃO</t>
  </si>
  <si>
    <t>ENTEROBACTERIACEAE, MÉTODOS CONVENCIONAIS DE IDENTIFICAÇÃO</t>
  </si>
  <si>
    <t>SOROLOGIA PARA SHIGELLA / SALMONELLA</t>
  </si>
  <si>
    <t>ACINETOBACTER SPP, MÉTODOS CONVENCIONAIS DE IDENTIFICAÇÃO</t>
  </si>
  <si>
    <t>METHODES D'IDENTIFICATION PAR KITS COMMERCIAUX</t>
  </si>
  <si>
    <t>MÉTODOS DE IDENTIFICAÇÃO BASEADOS EM KIT</t>
  </si>
  <si>
    <t>MÉTODOS DE IDENTIFICAÇÃO AUTOMATIZADOS</t>
  </si>
  <si>
    <t>ALGORITMOS DE IDENTIFICAÇÃO</t>
  </si>
  <si>
    <t>11- TSA CLASSIQUES</t>
  </si>
  <si>
    <t>11- ASPECTOS BÁSICOS DE TSA</t>
  </si>
  <si>
    <t>CONSERVATION DES DISQUES ANTIBIOTIQUES ET DES BANDELETTES GRADUEES</t>
  </si>
  <si>
    <t xml:space="preserve">MANUTENÇÃO DE DISCOS COM ANTIBIÓTICOS E TIRAS DE GRADIENTE </t>
  </si>
  <si>
    <t>PRÉPARATION DES INOCULUM</t>
  </si>
  <si>
    <t xml:space="preserve">PREPARAÇÃO DO INÓCULO </t>
  </si>
  <si>
    <t>ENSEMENCEMENT / INCUBATION</t>
  </si>
  <si>
    <t>INOCULAÇÃO/ INCUBAÇÃO</t>
  </si>
  <si>
    <t>LEITURA DE RESULTADOS DE TSA</t>
  </si>
  <si>
    <t>INTERPRETAÇÃO DE RESULTADOS</t>
  </si>
  <si>
    <t>NORMES POUR LES CONCENTRATIONS CRITIQUES</t>
  </si>
  <si>
    <t>PADRÕES DOS PONTOS DE CORTE</t>
  </si>
  <si>
    <t>12- Règles D'EXPERTISE POUR LE TSA</t>
  </si>
  <si>
    <t>12- REGRAS DE ESPECIALISTA PARA TSA</t>
  </si>
  <si>
    <t>RÈGLES D'EXPERTISE POUR SALMONELLA</t>
  </si>
  <si>
    <t>REGRAS DE ESPECIALISTA PARA SALMONELLA</t>
  </si>
  <si>
    <t xml:space="preserve"> GRAM NÉGATIFS ET CONCENTRATIONS CRITIQUES DES BETA LACTAMINES</t>
  </si>
  <si>
    <t>GRAM NEGATIVOS E PONTOS DE CORTE PARA BETALACTÂMICOS</t>
  </si>
  <si>
    <t>TESTS PHENOTYPIQUES POUR LA DETECTION DE BLSE</t>
  </si>
  <si>
    <t xml:space="preserve">PROVAS FENOTÍPICAS PARA A DETECÇÃO DE ESBL </t>
  </si>
  <si>
    <t xml:space="preserve">TEST PHENOTYPIQUE POUR LA DETECTION DE CARBAPENEMASES </t>
  </si>
  <si>
    <t>PROVAS FENOTÍPICAS PARA A DETECÇÃO DE CARBAPEMASES</t>
  </si>
  <si>
    <t>TEST DE LA COLISTINE</t>
  </si>
  <si>
    <t>PROVAS DE SENSIBILIDADE A COLISTINA</t>
  </si>
  <si>
    <t>RÈGLES D'EXPERTISE POUR LE STAPH AUREUS</t>
  </si>
  <si>
    <t>REGRAS DE ESPECIALISTA PARA STAPH AUREUS</t>
  </si>
  <si>
    <t>GENERALITES SUR LE PNEUMOCOQUE</t>
  </si>
  <si>
    <t>CONSIDERAÇÕES GERAIS PARA STREP PNEUMONIAE</t>
  </si>
  <si>
    <t>RÈGLES D'EXPERTISE POUR LE PNEUMOCOQUE</t>
  </si>
  <si>
    <t>REGRAS DE ESPECIALISTA PARA STREP PNEUMONIAE</t>
  </si>
  <si>
    <t xml:space="preserve">PROVAS PARA A DETECÇÃO DE RESISTÊNCIA INDUZÍVEL A CLINDAMICINA </t>
  </si>
  <si>
    <t>RÈGLES D'EXPERTISE POUR LE LCR</t>
  </si>
  <si>
    <t>REGRAS DE ESPECIALISTA PARA O LÍQUIDO CEFALORRAQUIDIANO</t>
  </si>
  <si>
    <t>13- PANELS, STRATEGIE DET ANALYSE DES TSA</t>
  </si>
  <si>
    <t xml:space="preserve">13- POLÍTICA E ANÁLISE DE PAINÉIS DE TSA </t>
  </si>
  <si>
    <t>PANELS DE TSA</t>
  </si>
  <si>
    <t>PAINÉIS DE TSA</t>
  </si>
  <si>
    <t xml:space="preserve">RELATÓRIO ACUMULADO DE ANTIBIOGRAMAS </t>
  </si>
  <si>
    <t>STRATEGIE POUR LE TSA</t>
  </si>
  <si>
    <t>POLÍTICA DE PAINEIS DE TSA</t>
  </si>
  <si>
    <t>BIOSÉCURITÉ : EQUIPEMENT</t>
  </si>
  <si>
    <t>EQUIPAMENTOS DE BIOSSEGURANÇA</t>
  </si>
  <si>
    <t>BIOSÉCURITÉ : COMPORTEMENTS</t>
  </si>
  <si>
    <t>COMPORTAMENTOS DE BIOSSEGURANÇA</t>
  </si>
  <si>
    <t>EQUIPAMENTO DE PROTEÇÃO INDIVIDUAL</t>
  </si>
  <si>
    <t>DOCUMENTATION ET FORMATION EN BIOSÉCURITÉ</t>
  </si>
  <si>
    <t>DOCUMENTAÇÃO E TREINAMENTO EM BIOSSEGURANÇA</t>
  </si>
  <si>
    <t>Reagentes para identificação bioquímica</t>
  </si>
  <si>
    <t>Coagulase</t>
  </si>
  <si>
    <t>Plasma-coagulase</t>
  </si>
  <si>
    <t>Test d'agglutination au latex pour le staphylocoque</t>
  </si>
  <si>
    <t>Aglutinação em látex para estafilococos</t>
  </si>
  <si>
    <t xml:space="preserve">Meio CHROMagar para a identificação de estafilococos </t>
  </si>
  <si>
    <t>Disque d'Optochine ("P")</t>
  </si>
  <si>
    <t xml:space="preserve">Disco de Optoquina ( "P") </t>
  </si>
  <si>
    <t>Solubilidade em bile (desoxicolato)</t>
  </si>
  <si>
    <t>Agglutination latex du Pneumocoque</t>
  </si>
  <si>
    <t xml:space="preserve">Aglutinação em látex para Strep. pneumo </t>
  </si>
  <si>
    <t>Reagentes de indol</t>
  </si>
  <si>
    <t>Rouge  méthyle</t>
  </si>
  <si>
    <t>Vermelho de Metila</t>
  </si>
  <si>
    <t>Gélose Trois sucres-fer (TSI) ou gélose de Kligler</t>
  </si>
  <si>
    <t xml:space="preserve"> Agar Tríplice Açúcar Ferro ou Agar Ferro de Kligler</t>
  </si>
  <si>
    <t>Uréase</t>
  </si>
  <si>
    <t>Motilidade</t>
  </si>
  <si>
    <t>Agar Lisina Ferro (LIA) ou Lisina descarboxilase (LDC)</t>
  </si>
  <si>
    <t>Prova de Oxidação-Fermentação (OF) da glicose ou dextrose</t>
  </si>
  <si>
    <t>Redução de nitratos</t>
  </si>
  <si>
    <t>Hidrólise da gelatina</t>
  </si>
  <si>
    <t>Resistência ao cloranfenicol (disco)</t>
  </si>
  <si>
    <t>Crescimento a 42 ° C</t>
  </si>
  <si>
    <t>Sorologia para Shigella</t>
  </si>
  <si>
    <t>Sorologia para Salmonella</t>
  </si>
  <si>
    <t>Résumé des équipements disponibles</t>
  </si>
  <si>
    <t xml:space="preserve">Resumo da disponibilidade de equipamento </t>
  </si>
  <si>
    <t>Équipement</t>
  </si>
  <si>
    <t>Equipamento Geral</t>
  </si>
  <si>
    <t>Etalon McFarland de densités connues, comprenant 0,5 McFarland (ne prendre en compte que les étalons non périmés)</t>
  </si>
  <si>
    <t>Padrões de turbidez para CQ de McFarland com valores conhecidos, incluindo o de 0.5, não expirados</t>
  </si>
  <si>
    <t>Régua ou paquímetro com marcações milimétricas</t>
  </si>
  <si>
    <t>Bicos de Bunsen ou micro-incineradores</t>
  </si>
  <si>
    <t>Oeses calibrées de 1uL ou 10uL (pour l'ensemencement des urines)</t>
  </si>
  <si>
    <t>Alças calibradas de 1uL ou 10uL (para semear culturas de urina)</t>
  </si>
  <si>
    <t>Densímetro óptico / turbidímetro (para a determinação da turbidez de McFarland)</t>
  </si>
  <si>
    <t>Micropipetas (ex.,Eppendorf)</t>
  </si>
  <si>
    <t>Centrífuga (não utilizada para culturas TB)</t>
  </si>
  <si>
    <t>Microscópio</t>
  </si>
  <si>
    <t>Termômetros</t>
  </si>
  <si>
    <t>Etuves à CO2</t>
  </si>
  <si>
    <t>Jarres à bougie</t>
  </si>
  <si>
    <t>Jarras de vela</t>
  </si>
  <si>
    <t>Etuves (sans CO2)</t>
  </si>
  <si>
    <t xml:space="preserve">Estufa a temperatura ambiente (sem CO2) </t>
  </si>
  <si>
    <t>Geladeira (2-8 ° C)</t>
  </si>
  <si>
    <t xml:space="preserve">Congelador, (sem ciclo de degelo) -20 ° C </t>
  </si>
  <si>
    <t xml:space="preserve">Congelador, (sem ciclo de degelo) -60 ° C </t>
  </si>
  <si>
    <t xml:space="preserve">Congelador, (sem ciclo de degelo) -80 ° C </t>
  </si>
  <si>
    <t>Dissecantes recarregáveis ​​(para o armazenamento de cartuchos abertos de discos e tiras com antibióticos )</t>
  </si>
  <si>
    <t>Estufa (para secar dissecantes saturados)</t>
  </si>
  <si>
    <t>Poste de sécurité microbiologique classe IIA</t>
  </si>
  <si>
    <t>Cabine de Segurança Biológica Classe IIA</t>
  </si>
  <si>
    <t>Autoclave para a preparação dos meios (autoclave "limpo")</t>
  </si>
  <si>
    <t>Autoclave para esterilizar resíduos ( autoclave "sujo")</t>
  </si>
  <si>
    <t>Equipement pour la préparation des milieux</t>
  </si>
  <si>
    <t>Medidor de pH</t>
  </si>
  <si>
    <t xml:space="preserve">Balança </t>
  </si>
  <si>
    <t>Conductimètre</t>
  </si>
  <si>
    <t>Condutivímetro</t>
  </si>
  <si>
    <t>Distillateur / équipement pour l'osmose inverse</t>
  </si>
  <si>
    <t>Equipamento de osmose inversa / destilador</t>
  </si>
  <si>
    <t>Agitador magnético com placa aquecedora (para a mistura de meio em pó)</t>
  </si>
  <si>
    <t>Banho-Maria</t>
  </si>
  <si>
    <t>Instrument pour les hémocultures</t>
  </si>
  <si>
    <t xml:space="preserve">Instrumento para hemocultura  </t>
  </si>
  <si>
    <t>Instrument pour l'identification et les TSA des bactéries (par exemple Vitek, Phoenix, Microscan)</t>
  </si>
  <si>
    <t>Instrumento para identificação bacteriana e TSA (ex. Vitek, Phoenix, Microscan)</t>
  </si>
  <si>
    <t>Instrument de lecture des TSA en disques (par exemple SIRSCAN, BIOMIC V3, ADAGIO, etc.)</t>
  </si>
  <si>
    <t>Instrumento para a leitura das provas de disco-difusão (ex. SIRSCAN, BIOMIC V3, ADAGIO, etc.)</t>
  </si>
  <si>
    <t xml:space="preserve">Instrumento de PCR para a detecção de genes de resistência a antibióticos </t>
  </si>
  <si>
    <t>ALERTES</t>
  </si>
  <si>
    <t>ALERTAS</t>
  </si>
  <si>
    <t>Les Drapeaux rouges représentent des pratiques pouvant présenter un risque pour les patients ou le personnel et devant être corrigées immédiatemment</t>
  </si>
  <si>
    <t>Os alertas vermelhos representam práticas que podem colocar em risco os pacientes ou funcionários e devem ser corrigidas imediatamente</t>
  </si>
  <si>
    <t>Les Opportunités de formation mettent en évidence les domaines dans lesquels une formation suffisante fait souvent défaut</t>
  </si>
  <si>
    <t xml:space="preserve">As oportunidades de treinamento ressaltam áreas de destaque onde frequentemente falta treinamento suficiente </t>
  </si>
  <si>
    <t>Les "Alertes système" mettent en évidence des problèmes en lien avec le système hospitalier ou avec les systèmes nationaux. La direction du laboratoire peut avoir besoin de contacter les dirigeants de l'hôpital ou du pays pour obtenir de l'aide en vue d'un changement.</t>
  </si>
  <si>
    <t>Os alertas do sistema ressaltam problemas com o Sistema Hospitalar ou com os Sistemas Nacionais. O responsável do laboratório necessita comunicar-se com o hospital ou responsável nacional para obter assistência na alteração</t>
  </si>
  <si>
    <t>Alertas Vermelhos</t>
  </si>
  <si>
    <t>Oportunidades de Treinamento</t>
  </si>
  <si>
    <t>Alerta do Sistema</t>
  </si>
  <si>
    <t>Número total de Alertas Vermelhos</t>
  </si>
  <si>
    <t>Nombre total d'Opportunités de formation</t>
  </si>
  <si>
    <t>Número total de Oportunidades de Treinamento</t>
  </si>
  <si>
    <t>Nombre total d'Alertes système</t>
  </si>
  <si>
    <t>Número total de Alertas do sistema</t>
  </si>
  <si>
    <t>0- INFORMAÇÃO GERAL</t>
  </si>
  <si>
    <t>DEMOGRAFIA DO LABORATÓRIO</t>
  </si>
  <si>
    <t>Data de avaliação (dd / mm / aaaa)</t>
  </si>
  <si>
    <t xml:space="preserve">Nome do Laboratório / Hospital </t>
  </si>
  <si>
    <t>Endereço</t>
  </si>
  <si>
    <t>Cidade</t>
  </si>
  <si>
    <t>Província</t>
  </si>
  <si>
    <t>GPS position of the laboratory (used for GIS representation of indicators). PLEASE ONLY USE DIGITAL DEGREE WITH + OR - SIGN. DO NOT USE DEGREES, MINUTES, SECONDS</t>
  </si>
  <si>
    <t>Position GPS du laboratoire (utilisée pour la représentation des indicateurs par SIG). VEUILLEZ UTILISER UNIQUEMENT UN CHIFFRE AVEC LE SIGNE + OU -. N'UTILISEZ PAS LA NOTATION: DEGRÉS, MINUTE, SECONDE</t>
  </si>
  <si>
    <t>Posición GPS del laboratorio (utilizada para la representación GIS de indicadores). UTILICE SOLO COORDENADAS DECIMALES CON SIGNO + O -. NO UTILICE COORDENADAS SEXAGESIMALES (GRADOS, MINUTOS, SEGUNDOS)</t>
  </si>
  <si>
    <t>Posição GPS do laboratório (utilizado para a representação GIS de indicadores). UTILIZE SOMENTE COORDENADAS DE GRAU DECIMAL COM O SINAL  + OU -. NÃO UTILIZE COORDENADAS  SEXAGESIMAIS (GRAUS, MINUTOS, SEGUNDOS)</t>
  </si>
  <si>
    <t>Informações de contato do responsável mais relevante do laboratório de bacteriologia. Ex.Diretor, Gerente, Supervisor, Chefe de Sessão, Responsável pela Qualidade</t>
  </si>
  <si>
    <t>Título / Posição</t>
  </si>
  <si>
    <t>Responsável pelo Laboratório de Microbiologia</t>
  </si>
  <si>
    <t>Responsável Técnico</t>
  </si>
  <si>
    <t>Responsável pelo Laboratório de Culturas</t>
  </si>
  <si>
    <t>Sources principale de financement du laboratoire / batiment</t>
  </si>
  <si>
    <t>Fontes primárias de financiamento do Laboratório/ Instituição</t>
  </si>
  <si>
    <t>1. Público / Governo</t>
  </si>
  <si>
    <t>3. ONG / Organisation confessionnelle / donateurs</t>
  </si>
  <si>
    <t>3. ONG / Missão / Doadores</t>
  </si>
  <si>
    <t>4. Outra</t>
  </si>
  <si>
    <t>Affiliation primaire du laboratoire</t>
  </si>
  <si>
    <t xml:space="preserve">Afiliação Primária do Laboratório </t>
  </si>
  <si>
    <t>1. Hôpital: centre hospitalier universitaire</t>
  </si>
  <si>
    <t xml:space="preserve">1. Hospital: Centro Médico Universitário ou Hospital Universitário </t>
  </si>
  <si>
    <t>3. Hospital: (não acadêmico nem militar)</t>
  </si>
  <si>
    <t>4. Clínica (principalmente ambulatório)</t>
  </si>
  <si>
    <t>5. Laboratório de referência dentro de um Instituto de Saúde Pública</t>
  </si>
  <si>
    <t>6. Laboratoire de référence  non affilié à un seul établissement de santé/soin ou institut de santé publique</t>
  </si>
  <si>
    <t>6. Laboratório de referência não afiliado a uma unidade sanitária individual ou instituto de saúde pública</t>
  </si>
  <si>
    <t xml:space="preserve">7. Outro, Ex. Laboratório de Pesquisa </t>
  </si>
  <si>
    <t>Niveau du laboratoire / de la structure (si principalement financé par le gouvernement)</t>
  </si>
  <si>
    <t>Nível do Laboratório / Instituição (se está principalmente financiada pelo governo)</t>
  </si>
  <si>
    <t>Nível de serviço do Hospital / Unidade sanitária</t>
  </si>
  <si>
    <t>1. Primário</t>
  </si>
  <si>
    <t>2. Secundário</t>
  </si>
  <si>
    <t>3. Terciário</t>
  </si>
  <si>
    <t>4. Outro</t>
  </si>
  <si>
    <t>Número de leitos do Hospital / Unidade sanitária</t>
  </si>
  <si>
    <t>Remarque: toutes les questions ne concernent que les échantillons de patients, PAS les échantillons environnementaux NI de recherche.</t>
  </si>
  <si>
    <t>O laboratório realiza os seguintes tipos de cultura?</t>
  </si>
  <si>
    <t>Na coluna # / ano, insira o número total de culturas realizadas no ano passado, tanto positivas como negativas</t>
  </si>
  <si>
    <t>Hémocultures</t>
  </si>
  <si>
    <t>Coprocultures (tous les agents pathogènes entériques bactériens)</t>
  </si>
  <si>
    <t>Coproculturas (todos os patógenos entéricos  bacterianos)</t>
  </si>
  <si>
    <t>Veuillez indiquer si le laboratoire recherche en culture les agents pathogènes entériques suivants. N'entrez pas le nombre de cultures.</t>
  </si>
  <si>
    <t>Por favor indique se o laboratório realiza cultura de fezes para os seguintes patógenos entéricos. Não Insira o número de culturas.</t>
  </si>
  <si>
    <t>Salmonella e / ou Shigella</t>
  </si>
  <si>
    <t>Yersinia enterocolitica</t>
  </si>
  <si>
    <t>E. coli entérohémorragique / entérotoxinogène (par exemple, O157: H7)</t>
  </si>
  <si>
    <t>Culturas Respiratórias (não TB / BAAR)</t>
  </si>
  <si>
    <t>Culturas de Ferida</t>
  </si>
  <si>
    <t>Culturas de Líquido Cefalorraquidiano</t>
  </si>
  <si>
    <t>Cultures de liquides biologiques stériles (pleural, péricardique, péritonéal, synovial)</t>
  </si>
  <si>
    <t>Culturas de Fluidos Corporais Estéreis  (pleural, pericárdico, peritoneal, sinovial)</t>
  </si>
  <si>
    <t>Cultures de prélèvements génitaux</t>
  </si>
  <si>
    <t>Culturas Genitais</t>
  </si>
  <si>
    <t>Culturas de  Anaeróbios</t>
  </si>
  <si>
    <t>Culturas de Fungos (leveduras)</t>
  </si>
  <si>
    <t>Dépistage de portage de SARM (Ex. Narines, aisselles, aine)</t>
  </si>
  <si>
    <t>Pesquisa de MRSA para fins de controle de infecção (Ex., narinas, axila, virilha)</t>
  </si>
  <si>
    <t>Dépistage de portage d'ERV (Ex. Écouvillon rectal)</t>
  </si>
  <si>
    <t>Pesquisa de VRE para fins de controle de infecção (ex. swab retal)</t>
  </si>
  <si>
    <t>Dépisatge de portage d'Enterobactéries résistantes aux C3G (par exemple écouvillon rectal)</t>
  </si>
  <si>
    <t>Pesquisa de CRE (ex. swab retal)</t>
  </si>
  <si>
    <t>Identificação e/ou TSA dos isolados enviados por outros laboratórios</t>
  </si>
  <si>
    <t>Outras culturas de importância local (oportunidade de personalizar através de comentários)</t>
  </si>
  <si>
    <t xml:space="preserve">MÉTODOS TSA/RAM E CARGA DE TRABALHO </t>
  </si>
  <si>
    <t xml:space="preserve">Que métodos manuais de TSA estão em uso? </t>
  </si>
  <si>
    <t>Na coluna #/ano, insira o número aproximado dos organismos testados usando cada método, não o número de antibióticos testados</t>
  </si>
  <si>
    <t>Diffusion (disques d'antibiotiques)</t>
  </si>
  <si>
    <t>Tiras de Gradiente (Ex. Etest / Liofilchem)</t>
  </si>
  <si>
    <t>Microdiluição em caldo (placa com 96 poços)</t>
  </si>
  <si>
    <t>Macrodilultion milieu liquide (méthode en tube)</t>
  </si>
  <si>
    <t>Diluição de ágar</t>
  </si>
  <si>
    <t>Na coluna # / ano, insira o número aproximado dos organismos testados usando cada método, não o número de antibióticos testados</t>
  </si>
  <si>
    <t>Outro, por favor especifique nos comentários.</t>
  </si>
  <si>
    <t>Le laboratoire utilise-t-il des géloses chromogènesr pour détecter des organismes résistants aux antibiotiques?</t>
  </si>
  <si>
    <t>O laboratório  utiliza  CHROMagar para detectar organismos resistentes aos antibióticos?</t>
  </si>
  <si>
    <t>Na coluna # / ano, deve inserir o número aproximado de organismos testados usando cada método</t>
  </si>
  <si>
    <t>Produtores de ESBL</t>
  </si>
  <si>
    <t>CRE /Carbapenemases</t>
  </si>
  <si>
    <t>Resistência a colistina</t>
  </si>
  <si>
    <t>O laboratório  utiliza PCR para detectar os genes de resistência aos antibióticos?</t>
  </si>
  <si>
    <t>Na coluna # / ano, insira  o número aproximado de organismos testados usando cada método</t>
  </si>
  <si>
    <t>BLSE</t>
  </si>
  <si>
    <t>vanA /vanB</t>
  </si>
  <si>
    <t xml:space="preserve">EDUCAÇÃO/TREINAMENTO DO PESSOAL DO LABORATÓRIO </t>
  </si>
  <si>
    <t xml:space="preserve">Indique o número de funcionários do laboratório de bacteriologia (incluindo de responsáveis a técnicos) que existem em cada uma das seguintes categorias de nível de  treinamento. </t>
  </si>
  <si>
    <t>Título de Doutor em Microbiologia Médica ou Análises Clínicas (PhD, MD/ equivalente)</t>
  </si>
  <si>
    <t>Título de Doutor, outra especialidade (PhD, MD, equivalente)</t>
  </si>
  <si>
    <t>Formation seulement au sein du laboratoire</t>
  </si>
  <si>
    <t>Número de pessoal com formação em  Microbiologia ou Análises Clínicas</t>
  </si>
  <si>
    <t>Número de pessoal com outra formação</t>
  </si>
  <si>
    <t xml:space="preserve">Proporção de pessoal com formação em Microbiologia ou Análises Clínicas </t>
  </si>
  <si>
    <t>Número de funcionários com título de Bacharel ou superior</t>
  </si>
  <si>
    <t>Número de funcionários com título inferior ao de  Bacharel</t>
  </si>
  <si>
    <t>Proporção de funcionários com título de Bacharel ou superior</t>
  </si>
  <si>
    <t>PROGRAMMES DE MENTORAT POUR LE SMQ</t>
  </si>
  <si>
    <t>PROGRAMAS DE MENTORIA DE SISTEMAS DE GESTÃO DA QUALIDADE (SGQ)</t>
  </si>
  <si>
    <t>O laboratório já participou alguma vez do programa SLIPTA/ FOGELA?</t>
  </si>
  <si>
    <t>Se sim, quando recebeu a certificação mais recente?</t>
  </si>
  <si>
    <t>1: Nos últimos 2 anos - 2: Há mais de 2 anos  - 3: NA</t>
  </si>
  <si>
    <t>Se sim, qual é o nível de estrelas da auditoria SLIPTA mais recente? Verifique o certificado.</t>
  </si>
  <si>
    <t>(0: 0 estrelas, 1: 1 estrela, 2:2 estrelas, 3: 3 estrelas, 4: 4 estrelas, 5: 5 estrelas, NA)</t>
  </si>
  <si>
    <t>O laboratório já participou alguma vez do  programa LQSI da OMS? Em que ano?</t>
  </si>
  <si>
    <t>Se sim, qual foi o último percentual global (% )para as 4 fases? Em que ano?</t>
  </si>
  <si>
    <t>1:&gt; 90%, 2: 70% -89%, 3: 50-69%, 4: &lt;50%, NA</t>
  </si>
  <si>
    <t>O laboratório já participou alguma vez em algum outro programa de mentoria para a Gestão da Qualidade do Laboratório  (Nacional, Regional, Internacional)? Quando?</t>
  </si>
  <si>
    <t>ACREDITAÇÃO E CERTIFICAÇÃO</t>
  </si>
  <si>
    <t>Le laboratoire possède-t-il un certificat d'accréditation ISO 15189 valide (en cours de validité) pour l'un des tests suivants? (Confirmez en examinant le certificat)</t>
  </si>
  <si>
    <t>O laboratório possui um certificado de acreditação  ISO 15189 válido (atualizado) para qualquer um dos seguintes testes? (Confirmar verificando o certificado)</t>
  </si>
  <si>
    <t>Coprocultures</t>
  </si>
  <si>
    <t>Identificação de organismos</t>
  </si>
  <si>
    <t xml:space="preserve">Teste de Sensibilidade aos Antibióticos </t>
  </si>
  <si>
    <t>Toute autre technique de microbiologie telle que la coloration de Gram?</t>
  </si>
  <si>
    <t>Alguma outra técnica de microbiologia aplicada como a coloração de Gram?</t>
  </si>
  <si>
    <t xml:space="preserve">1: Membro Titular do ILAC; 2: Membro Associado do ILAC; 3: Membro Afiliado do ILAC; 4: Parte Interessada do ILAC; 5: Organismo de Cooperação Regional do ILAC; 6: Outro / Não sabe; 7: Junta Nacional de Acreditação ;  N/A </t>
  </si>
  <si>
    <t xml:space="preserve">(ILAC = Cooperação Internacional de Acreditação de Laboratórios) </t>
  </si>
  <si>
    <t>Primeiro Nome</t>
  </si>
  <si>
    <t>Sobrenome/ Último Nome</t>
  </si>
  <si>
    <t>Endereço de e-mail</t>
  </si>
  <si>
    <t>Comentários</t>
  </si>
  <si>
    <t xml:space="preserve"># culturas no ano passado </t>
  </si>
  <si>
    <t xml:space="preserve"># organismos no ano passado </t>
  </si>
  <si>
    <t># funcionários</t>
  </si>
  <si>
    <t>Esta seção se completará automaticamente, não insira dados</t>
  </si>
  <si>
    <t>Ano</t>
  </si>
  <si>
    <t>Ano concedido</t>
  </si>
  <si>
    <t>1- ETABLISSEMENT/BATIMENTS</t>
  </si>
  <si>
    <t>Remarque: toutes les questions concernent l'équipement utilisé pour la prise en charge des échantillons cliniques de patients, PAS l'équipement utilisé uniquement pour les échantillons de recherche.</t>
  </si>
  <si>
    <t>Atenção: todas as questões se referem a equipamentos que são usados para amostras clínicas do paciente, NÃO a equipamentos que são usados apenas para amostras de investigação (pesquisa)</t>
  </si>
  <si>
    <t>Observe as bancadas de trabalho de laboratório, são elas:</t>
  </si>
  <si>
    <t>Separadas das áreas de atendimento ao paciente</t>
  </si>
  <si>
    <t>Organizadas com o mínimo de desordem?</t>
  </si>
  <si>
    <t>Devidamente ventiladas?</t>
  </si>
  <si>
    <t>Livres do excesso de umidade?</t>
  </si>
  <si>
    <t>Iluminadas adequadamente?</t>
  </si>
  <si>
    <t>O laboratório possui um sistema funcional de ar condicionado/ aquecimento?</t>
  </si>
  <si>
    <t>A temperatura do laboratório é mantida entre 20°-25°C?</t>
  </si>
  <si>
    <t>Est-ce que tous les équipements critiques (instruments, réfrigérateurs, congélateurs, incubateurs, ordinateurs, instruments automatisés) sont alimentés par un générateur en fonctionnement?</t>
  </si>
  <si>
    <t>Todos os equipamentos críticos (instrumentos, refrigeradores, congeladores, estufas, computadores, instrumentos automatizados) são suportados por um gerador em funcionamento?</t>
  </si>
  <si>
    <t>Todos os equipamentos críticos estão conectados a fontes de alimentação ininterruptas (UPS)? (Estes fornecem energia temporária até que o gerador possa ser ativado)</t>
  </si>
  <si>
    <t>Nos últimos 6 meses, houve interrupção na capacidade de fornecer serviços bacteriológicos de rotina devido a uma interrupção prolongada de energia elétrica?</t>
  </si>
  <si>
    <t>Existe um plano de contingência em vigor para trabalhar de maneira continuada em caso de interrupção prolongada de energia elétrica (ex. falta de energia que dure vários dias)?</t>
  </si>
  <si>
    <t>Descrever o serviço de internet no laboratório</t>
  </si>
  <si>
    <t>1: Contínua (interrupções de serviço são raras) - 2: Esporádicas (interrupções de serviço são comuns) - 3: Não há Internet disponível</t>
  </si>
  <si>
    <t>DISPONIBILIDADE GERAL DE EQUIPAMENTO</t>
  </si>
  <si>
    <t>Indiquez si le laboratoire dispose des équipements FONCTIONNELS suivants. Dans la colonne D (nbr), indiquez combien d’équipements fonctionnels sont présents. Si le laboratoire ne dispose que de matériel non fonctionnel, sélectionnez "Non" et écrivez "Non fonctionnel" dans les commentaires. Indiquez également dans les commentaires si la quantité d'équipement est suffisante pour le volume d'analyses du laboratoire.</t>
  </si>
  <si>
    <t>Padrões de turbidez de McFarland com valores de concentração final conhecidas,  incluindo 0.5, não expirado</t>
  </si>
  <si>
    <t>Densímetro óptico / turbidímetro (para a determinação da densidade de McFarland)</t>
  </si>
  <si>
    <t>Micropipetas (ex., Eppendorf)</t>
  </si>
  <si>
    <t>Centrifugeuses (non utilisée pour les cultures de tuberculose)</t>
  </si>
  <si>
    <t>Microscopes</t>
  </si>
  <si>
    <t>Jarres à bougies</t>
  </si>
  <si>
    <t>Etuves  (sans CO2)</t>
  </si>
  <si>
    <t xml:space="preserve">Congelador sem ciclo de degelo, -20 ° C </t>
  </si>
  <si>
    <t xml:space="preserve">Congelador sem ciclo de degelo, -60 ° C </t>
  </si>
  <si>
    <t xml:space="preserve">Congelador sem ciclo de degelo, -80 ° C </t>
  </si>
  <si>
    <t>Dissecantes recarregáveis ​​(para armazenamento de discos e tiras de antibióticos abertos)</t>
  </si>
  <si>
    <t>Estufa (para secagem de dissecantes saturados)</t>
  </si>
  <si>
    <t xml:space="preserve">DISPONIBILIDADE DE EQUIPAMENTO PARA PREPARAÇÃO DE MEIOS </t>
  </si>
  <si>
    <t>O laboratório prepara algum meio  ou água destilada? (ex. ágar  sangue, ágar Mueller Hinton, frascos de hemoculturas)</t>
  </si>
  <si>
    <t>Em caso negativo, responder NA até a próxima seção</t>
  </si>
  <si>
    <t>pHmetro</t>
  </si>
  <si>
    <t xml:space="preserve">Destilador/Equipamento de osmose inversa </t>
  </si>
  <si>
    <t>Agitador magnético com placa aquecedora (para misturar meios em pó)</t>
  </si>
  <si>
    <t>Banho Maria</t>
  </si>
  <si>
    <t>Passez en revue les enregistrements métrologiques pour chaque équipement. L'étalonnage a-t-il été effectuée au cours de la dernière année? (Entrez NA si le laboratoire n'a pas l'équipement.)</t>
  </si>
  <si>
    <t>Examinar os registros de calibração para cada peça de equipamento. Há registros de calibração no último ano? (Escreva NA se o laboratório não tem o equipamento.)</t>
  </si>
  <si>
    <t>Densímetro ótico (para a determinação da turbidez de McFarland)</t>
  </si>
  <si>
    <t>Micropipettes (par exemple, Eppendorf)</t>
  </si>
  <si>
    <t>Micropipetas (por exemplo, Eppendorf)</t>
  </si>
  <si>
    <t>Centrifugeuses</t>
  </si>
  <si>
    <t>Four à air chaud pour sécher des dessicants</t>
  </si>
  <si>
    <t>Banho- Maria</t>
  </si>
  <si>
    <t>Indicar se há termômetros manuais (não-digitais) dentro de cada equipamento. (Marque NA se o laboratório não tem o equipamento.)</t>
  </si>
  <si>
    <t>Etuve à CO2</t>
  </si>
  <si>
    <t>Etuve  (sans CO2)</t>
  </si>
  <si>
    <t>Four à air chaud (pour sécher les dessicants)</t>
  </si>
  <si>
    <t>Observar se foram definidos claramente os intervalos aceitáveis temperatura mínima/máxima nas folhas de registro para as seguintes áreas /equipamentos e se a verificação de temperatura são documentadas diariamente. Marque ​​NA se a peça de equipamento em questão não estiver em uso no laboratório.</t>
  </si>
  <si>
    <t>Temperatura Ambiente</t>
  </si>
  <si>
    <t>As temperaturas são registradas a cada dia de uso?</t>
  </si>
  <si>
    <t>O intervalo aceitável de temperaturas (mínima e máxima) está claramente definido na folha de registro?</t>
  </si>
  <si>
    <t>Geladeiras</t>
  </si>
  <si>
    <t>Estufas, atmosfera ambiente</t>
  </si>
  <si>
    <t>Les taux de CO2 dans les étuves à CO2 sont-ils vérifiés et documentés quotidiennement (ou chaque jour d'utilisation si elles ne sont pas utilisées quotidiennement)?</t>
  </si>
  <si>
    <t>As estufas de CO2 são verificadas para níveis adequados de CO2 e documentadas diariamente (ou cada dia de uso se não utilizadas diariamente)?</t>
  </si>
  <si>
    <t>Banhos- Maria</t>
  </si>
  <si>
    <t>Norme: Des limites acceptables doivent être définies pour toute enceinte thermostatée.</t>
  </si>
  <si>
    <t>Norma: Intervalos aceitáveis ​​devem ser definidos para todos os equipamentos dependentes de temperatura</t>
  </si>
  <si>
    <t>Existe-t-il une documentation sur les mesures correctives prises en réponse à des températures non conformes?</t>
  </si>
  <si>
    <t>Existe documentação das ações corretivas tomadas em resposta a temperaturas  fora dos limites aceitáveis?</t>
  </si>
  <si>
    <t>1: Sim - 2: Nenhuma ação é documentada - 3: As temperaturas não são registradas</t>
  </si>
  <si>
    <t>Standard: Des procédures devraient être disponibles avec des instructions sur les actions à prendre lorsque les températures sont non conformes.</t>
  </si>
  <si>
    <t>Norma: Os procedimentos devem estar disponíveis com instruções quanto a que ação (ões) devem ser tomadas quando as temperaturas estiverem fora dos limites</t>
  </si>
  <si>
    <t>GESTÃO DO AUTOCLAVE</t>
  </si>
  <si>
    <t>Les enregistrements démontrent-ils que les indicateurs mécaniques suivants sont enregistrés chaque fois que l'autoclave est utilisé? (Consultez les registres/enregistrements pour confirmer)</t>
  </si>
  <si>
    <t>Os registros demonstram que os seguintes indicadores mecânicos são registrados cada vez que a autoclave é utilizada? (Revise os registros para confirmar)</t>
  </si>
  <si>
    <t>Pressão</t>
  </si>
  <si>
    <t>Durée du cycle</t>
  </si>
  <si>
    <t>Tempo do ciclo</t>
  </si>
  <si>
    <t>Les enregistrements démontrent-ils que des indicateurs chimiques (par exemple, du ruban adhésif sensible à la chaleur) sont utilisés chaque fois que l'autoclave est utilisé? (Consultez les registres/enregistrements pour confirmer)</t>
  </si>
  <si>
    <t>Os registros demonstram que os indicadores químicos (Ex. fita sensível ao calor) são utilizados cada vez que a autoclave é utilizada? (Revise os registros para confirmar)</t>
  </si>
  <si>
    <t>Les enregistrements démontrent-ils que des indicateurs biologiques (Attest ou un autre système de spores, par exemple) sont utilisés pour confirmer que l'autoclave a réellement effectué la stérilisation? (Consultez les enregistrements/registres pour confirmer). 1- hebdomadaire, 2- mensuel, 3- moins que mensuel, 4- pas d'enregistrements</t>
  </si>
  <si>
    <t>Os registros demonstram que os indicadores biológicos (Ex.Attest ou  outro sistema de esporos) são usados ​​para confirmar a autoclave está esterilizando? (Revise os registros para confirmar). 1- Semanal, 2-Mensal, 3- Menos que mensal, 4- Não há registos</t>
  </si>
  <si>
    <t>A mesma autoclave é utilizada tanto para a preparação dos meios quanto para a esterilização de resíduos?</t>
  </si>
  <si>
    <t xml:space="preserve">DISPONIBILIDADE E MANUTENÇÃO DE INSTRUMENTOS </t>
  </si>
  <si>
    <t>Entrez le nombre disponible pour chaque équipement dans la colonne D (nbr)</t>
  </si>
  <si>
    <t>Insira o número de peças na coluna D (#)</t>
  </si>
  <si>
    <t>Le laboratoire dispose-t-il d'un automate pour l'incubation des hémocultures? (indiquer le fabricant et le modèle dans les commentaires)</t>
  </si>
  <si>
    <t>O laboratório tem um instrumento automatizado para realizar  hemoculturas? (Indicar o fabricante e modelo nos comentários)</t>
  </si>
  <si>
    <t>O instrumento se encontra funcional?</t>
  </si>
  <si>
    <t>Un manuel d'utilisation est-il disponible?</t>
  </si>
  <si>
    <t>Existe um manual de usuário presente?</t>
  </si>
  <si>
    <t>Des enregistrements des maintenances de routine (utilisateur) sont-ils disponibles?</t>
  </si>
  <si>
    <t>Existem registros de manutenção de rotina (usuário)?</t>
  </si>
  <si>
    <t>Des enregistrements des maintenances préventives (fournisseur) sont-ils disponibles?</t>
  </si>
  <si>
    <t>Existem registros de manutenção de rotina (fornecedor)?</t>
  </si>
  <si>
    <t>Un contrat de service-après-vente est-il en place?</t>
  </si>
  <si>
    <t>Existe um contrato de serviço?</t>
  </si>
  <si>
    <t>O software está atualizado?</t>
  </si>
  <si>
    <t>Le laboratoire dispose-t-il d'un automate pour l'identification bactérienne et les TSA? (par exemple, Vitek, Microscan, Phoenix)</t>
  </si>
  <si>
    <t>O laboratório tem um instrumento automatizado para identificação bacteriana e TSA? (Ex. Vitek, Microscan, Phoenix)</t>
  </si>
  <si>
    <t>Le laboratoire dispose-t-il d'un instrument automatisé pour lire les TSA en diffusion en milieu solide (disques d'antibiotiques)? (par exemple, SIRSCAN, BIOMIC V3, ADAGIO, etc.)</t>
  </si>
  <si>
    <t>O laboratório tem um instrumento automatizado para a leitura de difusão de discos? (Ex.SIRSCAN, BIOMIC V3, ADAGIO, etc.)</t>
  </si>
  <si>
    <t>O laboratório tem um instrumento MALDI para a identificação de organismos? (ex. Bruker, Biomerieux)</t>
  </si>
  <si>
    <t>O laboratório tem um instrumento de PCR utilizado para a detecção de genes de resistência a antibióticos? (Ex. GeneXpert)</t>
  </si>
  <si>
    <t>Nos últimos 6 meses, houve interrupção na capacidade de fornecer serviços de bacteriologia de rotina devido a falha prolongada de um instrumento?</t>
  </si>
  <si>
    <t>Em caso de falha prolongada do instrumento, existe algum plano de contingência estabelecido para fornecer serviços de bacteriologia de forma ininterrupta?</t>
  </si>
  <si>
    <t>INVENTÁRIOS E RUPTURAS DE ESTOQUE</t>
  </si>
  <si>
    <t>Le laboratoire dispose-t-il d'un système de gestion des stocks?</t>
  </si>
  <si>
    <t>O laboratório tem um sistema de controle de inventário estabelecido?</t>
  </si>
  <si>
    <t>Au cours des 6 derniers mois, le laboratoire / hôpital a-t-il connu des ruptures de stock de matériel de prélèvement d'échantillons? (Par exemple, flacons d'hémoculture, poudriers stériles, écouvillons stériles)</t>
  </si>
  <si>
    <t>Nos últimos 6 meses, o laboratório/hospital evidenciou ruptura de estoque de materiais de coleta da amostra? (Por exemplo, frascos de hemocultura, vasilhames estéreis, swab estéreis)</t>
  </si>
  <si>
    <t>Au cours des 6 derniers mois, le laboratoire a-t-il connu des ruptures de stock de consommables? (Par exemple, boîtes de Pétri, tubes, sérum physiologique stérile, pipettes, embouts de pipette, oese en plastique, gants, papier, gaze, désinfectant)</t>
  </si>
  <si>
    <t>Nos últimos 6 meses, o laboratório evidenciou ruptura de estoque de consumíveis? (Por exemplo, placas de petri, tubos, solução salina estéril, pipetas, ponteiras, alças de plástico para inoculação, luvas, papel, gaze, desinfetante)</t>
  </si>
  <si>
    <t>Nos últimos 6 meses, o laboratório evidenciou ruptura de estoque de meio? (Por exemplo, meio em pó, sangue de carneiro, outros aditivos, meios em tubo)</t>
  </si>
  <si>
    <t>Nos últimos 6 meses, o laboratório evidenciou ruptura de estoque de reagentes convencionais? (Por exemplo, reagente de oxidase, reagente de indol, reagente de catalase, reagente de coagulase, etc.)</t>
  </si>
  <si>
    <t>Nos últimos 6 meses, o laboratório  evidenciou ruptura de estoque de discos ou tiras de antibióticos?</t>
  </si>
  <si>
    <t>Nos últimos 6 meses, o laboratório evidenciou ruptura de estoque de cartões/bandejas de identificação ou TSA para os instrumentos automatizados?</t>
  </si>
  <si>
    <t>Au cours des 6 derniers mois, le laboratoire a-t-il connu des ruptures de stock de matériel de contrôle qualité ou de souches de référence?</t>
  </si>
  <si>
    <t xml:space="preserve">Nos últimos 6 meses, o laboratório evidenciou ruptura de estoque de materiais de controle ou cepas de referência? </t>
  </si>
  <si>
    <t>Nos últimos 6 meses, alguma ruptura de estoque interrompeu a capacidade do laboratório para fornecer serviços de bacteriologia de rotina?</t>
  </si>
  <si>
    <t>No caso de ruptura de estoque, existe um plano de contingência estabelecido para fornecer serviços de bacteriologia de forma  ininterrupta?</t>
  </si>
  <si>
    <t>Tous les milieux, réactifs et trousses de test actuellement utilisés sont-ils encore valides selon les dates de péremption spécifiées par le fabricant? (Vérifier par échantillonnage aléatoire)</t>
  </si>
  <si>
    <t>Todos os meios, reagentes e kits de teste em uso se encontram atualmente dentro das datas de validade atribuídas pelo fabricante? (Verificar por amostragem aleatória)</t>
  </si>
  <si>
    <t>Todos os reagentes reconstituídos, tais como plasma coagulase se encontram dentro de estabilidade a partir da data de reconstituição? (Plasma coagulase expira 30 dias após a reconstituição quando armazenado congelado).</t>
  </si>
  <si>
    <t>Equipamentos funcionais?</t>
  </si>
  <si>
    <t>Por favor, comente "insuficiente" se a quantidade de equipamentos funcionais existentes  é insuficiente para o volume de testes do laboratório.</t>
  </si>
  <si>
    <t>2 - SYSTÈME D'INFORMATION DE LABORATOIRE (INFORMATIQUE)</t>
  </si>
  <si>
    <t xml:space="preserve">2 - SISTEMA DE INFORMAÇÃO LABORATORIAL -SIL (ELETRÔNICO) </t>
  </si>
  <si>
    <t>Les scores de cette section reflètent l'ergonomie du SIL  et sa compatibilité probable avec les systèmes de surveillance de la RAM, et non la qualité du laboratoire.</t>
  </si>
  <si>
    <t>As pontuações para esta seção não refletem a qualidade do laboratório e sim o uso do SIL baseado em computador e sua provável compatibilidade com os sistemas de vigilância da RAM.</t>
  </si>
  <si>
    <t>Lors de l’exportation de données d’un SIL à des fins d’analyse de données, y compris la surveillance de la RAM, il est important que chaque champ de données soit discret/distinct.</t>
  </si>
  <si>
    <t>Ao exportar dados a partir de um SIL com o propósito de analisa-los, incluindo para a vigilância da RAM , é importante que cada campo de dados esteja separado</t>
  </si>
  <si>
    <t>CAMPOS DE DADOS DEMOGRÁFICOS</t>
  </si>
  <si>
    <t>Le laboratoire utilise-t-il un système d'information de laboratoire (SIL)?</t>
  </si>
  <si>
    <t>O laboratório utiliza um Sistema de Informação Laboratorial baseado em computador (SIL)?</t>
  </si>
  <si>
    <t xml:space="preserve">Se sim, por favor registrar o nome nos comentários. ATENÇÃO: WHONET não é um SIL </t>
  </si>
  <si>
    <t>Observe a entrada de dados no SIL. Existem campos individuais presentes para cada um dos seguintes dados?</t>
  </si>
  <si>
    <t>Sobrenome/ Último Nome do Paciente</t>
  </si>
  <si>
    <t xml:space="preserve">Nome do Paciente </t>
  </si>
  <si>
    <t>Número de Identificação do Paciente</t>
  </si>
  <si>
    <t>Data de Nascimento do Paciente</t>
  </si>
  <si>
    <t>Idade do Paciente</t>
  </si>
  <si>
    <t>Sexo do Paciente</t>
  </si>
  <si>
    <t>Lieu d'admission du patient (service ou unité au moment de la collecte de l'échantillon, par exemple, "USI")</t>
  </si>
  <si>
    <t>Localização do Paciente ( ala ou unidade no momento da coleta da amostra. Ex, "UTI")</t>
  </si>
  <si>
    <t>Data de Admissão do Paciente</t>
  </si>
  <si>
    <t>CHAMPS DE DONNÉES CONCERNANT L'ÉCHANTILLON</t>
  </si>
  <si>
    <t xml:space="preserve">CAMPOS DE DADOS DE AMOSTRAS </t>
  </si>
  <si>
    <t>Numéro d'identification de l'échantillon</t>
  </si>
  <si>
    <t>Número de identificação da amostra</t>
  </si>
  <si>
    <t>Tipo de amostra (Ex. Ferida)</t>
  </si>
  <si>
    <t>Provenance de l'échantillon/ localisation anatomique (par exemple bras)</t>
  </si>
  <si>
    <t>Origem da Amostra/ Parte do Corpo  (Ex. Braço)</t>
  </si>
  <si>
    <t>Descriptions supplémentaires (par exemple, Gauche, Droite)</t>
  </si>
  <si>
    <t>Descrições adicionais (Ex. Esquerdo, Direito)</t>
  </si>
  <si>
    <t>Data de coleta da amostra</t>
  </si>
  <si>
    <t>Heure du prélèvement</t>
  </si>
  <si>
    <t>Hora de coleta da amostra</t>
  </si>
  <si>
    <t>Data de recebimento da amostra</t>
  </si>
  <si>
    <t xml:space="preserve">Hora de recebimento da amostra </t>
  </si>
  <si>
    <t>Coloração de Gram de amostra (Ex. Coloração de Gram de escarro)</t>
  </si>
  <si>
    <t>Quantidade de Células Epiteliais por campo de baixa potência</t>
  </si>
  <si>
    <t>Quantidade de PMN (Leucócitos) por campo de baixa potência</t>
  </si>
  <si>
    <t>Quantidade de células bacterianas por campo de alta potência</t>
  </si>
  <si>
    <t>Tipo de células bacterianas (cocos Gram positivos, bacilos Gram negativos, etc.)</t>
  </si>
  <si>
    <t>Description des morphologies de colonies (par exemple "muqueuse, fermentant le lactose" ou "bêta-hémolytique")</t>
  </si>
  <si>
    <t>Descrição das morfologias das colônias (Ex, "fermentador de lactose mucóide" ou "beta-hemolítico")</t>
  </si>
  <si>
    <t>Description des quantités de colonies (par exemple "1+, 2+, 3+, 4+" ou "peu nombreuses, assez nombreuses, très nombreuses")</t>
  </si>
  <si>
    <t>Descrição das quantidades de colônias (Ex. "1+, 2+, 3+, 4+" ou "poucas, moderadas, muitas")</t>
  </si>
  <si>
    <t>Coloração de Gram da colônia bacteriana</t>
  </si>
  <si>
    <t>Resultados das provas bioquímicas (Ex. "Catalase positiva") para métodos de ensaio convencionais</t>
  </si>
  <si>
    <t>Nome do organismo</t>
  </si>
  <si>
    <t>Nombre d'isolats (par exemple, lorsque plusieurs cultures sont retrouvées en culture: isolat n ° 1, isolat n ° 2)</t>
  </si>
  <si>
    <t>Número do isolado  (Ex. quando se encontra mais de um agente patogênico  em uma cultura: isolado# 1, isolado # 2)</t>
  </si>
  <si>
    <t>Champs de données pour les TSA</t>
  </si>
  <si>
    <t>Est-ce que le SIL peut enregistrer la méthode de TSA utilisée pour obtenir chaque résultat de test antibiotique  (par exemple Etest vs Vitek vs disque)?</t>
  </si>
  <si>
    <t>O SIL pode registrar o  método de TSA  utilizado para se obter cada resultado individual de antibiótico  (Ex., Etest vs Vitek vs disco)?</t>
  </si>
  <si>
    <t>Taille des diamètre d'inhibition (disques)</t>
  </si>
  <si>
    <t>Diâmetros dos halos de inibição</t>
  </si>
  <si>
    <t>Interprétation des résultats en disque (S / I / R)</t>
  </si>
  <si>
    <t>Interpretação da disco-difusão (S / I / R)</t>
  </si>
  <si>
    <t>Valeurs des CMI</t>
  </si>
  <si>
    <t>Valores de CIM (MIC)</t>
  </si>
  <si>
    <t>Interprétation des CMI (S / I / R)</t>
  </si>
  <si>
    <t>Interpretação de CIM  (S / I / R)</t>
  </si>
  <si>
    <t>Le SIL peut-il enregistrer les valeurs CMI à trois décimales (ex : 0,016)?</t>
  </si>
  <si>
    <t>O SIL é capaz de registrar os valores de CIM com três casas decimais (Ex., 0.016)?</t>
  </si>
  <si>
    <t>Le SIL peut-il supprimer (masquer) un résultat d'antibiotique du rapport du patient sans le supprimer de la base  de données (pour le rapport en cascade)?</t>
  </si>
  <si>
    <t xml:space="preserve">O SIL é capaz de suprimir (esconder) um resultado de um  antibiótico individual a partir do relatório do paciente sem excluí-lo do banco de dados (para relatórios em cascata)? </t>
  </si>
  <si>
    <t>Le logiciel SIL interprète-t-il automatiquement les diamètres en Sensible, Intermédiaire, Résistant?</t>
  </si>
  <si>
    <t>O software do SIL é capaz de interpretar automaticamente os diâmetros dos halos de inibição em Sensível, Intermediário, Resistente?</t>
  </si>
  <si>
    <t>O software do SIL é capaz de interpretar automaticamente as CIMs em Sensível, Intermediário, Resistente?</t>
  </si>
  <si>
    <t>Si le logiciel SIL interprète automatiquement lesdiamètres ou les CMI, les valeurs critiques sont-elles mises à jour annuellement?</t>
  </si>
  <si>
    <t>Se o software do SIL interpreta automaticamente os diâmetros dos halos ou CIMs, os pontos de corte são atualizados anualmente?</t>
  </si>
  <si>
    <t>Si le logiciel SIL interprète automatiquement les diamètre d'inhibition ou les CIM, les valeus critiques sont elles à jour aujourd'hui?</t>
  </si>
  <si>
    <t>Se o software do SIL interpreta automaticamente os diâmetros dos halos ou CIMs, os pontos de corte são atualizados hoje?</t>
  </si>
  <si>
    <t>COMPTE RENDU ET CAPACITÉS DE TRANSFERT DE DONNÉES</t>
  </si>
  <si>
    <t>CAPACIDADES DE NOTIFICAÇÃO E TRANSFERÊNCIA DE DADOS</t>
  </si>
  <si>
    <t>(Une «interface» est une connexion électronique qui permet à l'information de circuler automatiquement entre différents systèmes informatiques et logiciels.)</t>
  </si>
  <si>
    <t>(Uma “interface” é uma conexão eletrônica que permite que a informação flua automaticamente entre diferentes sistemas de informática e aplicações de software)</t>
  </si>
  <si>
    <t>O SIL é capaz de eliminar dados duplicados com base em critérios selecionados (Ex. ID do paciente, organismo, data da amostra)?</t>
  </si>
  <si>
    <t>O SIL é capaz de produzir um relatório cumulativo de antibiograma?</t>
  </si>
  <si>
    <t>O SIL é capaz de interfacear com instrumentos automatizados de TSA (Ex., Vitek, Phoenix, SIRScan, BIOMIC)?</t>
  </si>
  <si>
    <t>Est-ce que le SIL peut s’interfacer avec le système d’information hospitalier (SIH)?</t>
  </si>
  <si>
    <t>O SIL é capaz de interfacear com o Sistema de Informações do Hospital (SIH)?</t>
  </si>
  <si>
    <t>O SIL é capaz de  exportar listas de dados para arquivos .txt ou .csv?</t>
  </si>
  <si>
    <t>(Uma “interface” é uma conexão eletrônica que permite que a informação flua automaticamente entre diferentes sistemas e aplicações de software)</t>
  </si>
  <si>
    <t>Caso o laboratório use um instrumento automatizado para TSA, descreva o fluxo de dados entre o SIL e o software do instrumento.</t>
  </si>
  <si>
    <t xml:space="preserve">1: Atualmente os sistemas não estão interligados </t>
  </si>
  <si>
    <t>2: bidirectionnel: les informations du patient (par exemple, numéro de dossier médical, numéro d'échantillon, type d'échantillon) sont transférées du SIL dans le logiciel de l'instrument, ET les résultats (identification et TSA) sont renvoyés du logiciel de l'instrument dans le SIL.</t>
  </si>
  <si>
    <t>2: Bidirecional: A informação do paciente (ex., número de registo médico, número da amostra, tipo de amostra) flui a partir do SIL para o software do instrumento, E os resultados (ID e TSA) fluem a partir do software do instrumento de volta para o SIL.</t>
  </si>
  <si>
    <t>3: Unidirecional: A informação do paciente flui do SIL para o software do instrumento, mas os resultados não são transmitidos de volta para o LIS</t>
  </si>
  <si>
    <t>4: Unidirecional: Os resultados são transmitidos a partir do software do instrumento para o LIS, mas as informações do paciente não podem fluir a partir do SIL para o software do instrumento.</t>
  </si>
  <si>
    <t>NA: Não há instrumentos automatizados</t>
  </si>
  <si>
    <t>L'hôpital utilise-t-il un système d'information hospitalier (SIH) ou un dossier médical électronique (DME)?</t>
  </si>
  <si>
    <t xml:space="preserve">O hospital utiliza um Sistema de Informação Hospitalar (SIH) ou um Registro Médico Eletrônico (RME)? </t>
  </si>
  <si>
    <t>Se sim, por favor registre o nome do sistema nos comentários</t>
  </si>
  <si>
    <t>Si le SIL et le SIH / DME sont interfacés, décrire le flux de données entre le SIL et le SIS /DME</t>
  </si>
  <si>
    <t>Se o SIL e o SIH / RME são interligados, descreva o fluxo de dados entre o SIL e o SIH/RME</t>
  </si>
  <si>
    <t>1: Os sistemas não são interligados</t>
  </si>
  <si>
    <t>2: bidirectionnel: les informations du patient (données démographiques, anaylses de laboratoire, etc.) sont transmises du SIH au SIL, ET les résultats de microbiologie du patient (Identification / TSA) sont renvoyés du SIL au SIS.</t>
  </si>
  <si>
    <t xml:space="preserve">2: Bidirecional: A informação do paciente (Ex., dados demográficos, ordens do laboratório) flui a partir da SIH para o SIL E os resultados da microbiologia do paciente (ID / TSA)  fluem a  partir do SIL  de volta para o SIH. </t>
  </si>
  <si>
    <t>3: Unidirectionnel: les données démographiques des patients sont transmises du SIS au SIL mais les résultats des patients ne sont pas retransmis dans le SIH.</t>
  </si>
  <si>
    <t xml:space="preserve">3: Unidirecional: Os dados demográficos do paciente são transmitidos a partir do SIH para o SIL, mas os resultados dos pacientes não são transmitidos de volta para o SIH </t>
  </si>
  <si>
    <t xml:space="preserve">4: Unidirecional: Os resultados do paciente são transmitidos a partir do SIL para o SIH, mas os dados demográficos do paciente não podem transmitidos a partir do SIH para o SIL. </t>
  </si>
  <si>
    <t>NA: pas de SIL ou pas de SIH</t>
  </si>
  <si>
    <t>NA: Não existe SIL ou não existe SIH</t>
  </si>
  <si>
    <t>3- GESTÃO DE DADOS</t>
  </si>
  <si>
    <t>Atenção: todas as questões referem-se apenas a amostras clínicas de pacientes, NÃO a  amostras de investigação (pesquisa)</t>
  </si>
  <si>
    <t xml:space="preserve">IDENTIFICAÇÃO DE PACIENTES E AMOSTRAS </t>
  </si>
  <si>
    <t>Aos pacientes internados é  atribuído um número único de identificação no momento da admissão ao hospital?</t>
  </si>
  <si>
    <t>Aos  pacientes ambulatoriais é atribuído um número único de identificação no momento do registro na clínica?</t>
  </si>
  <si>
    <t>Os números de identificação dos pacientes são atribuídos de modo em que não haja dois pacientes que recebam o mesmo número durante um ano?</t>
  </si>
  <si>
    <t>Os pacientes conservam o mesmo número de identificação cada vez que são admitidos no hospital?</t>
  </si>
  <si>
    <t>O laboratório utiliza os mesmos números de identificação de pacientes atribuídos pelo hospital e/ou clínicas?</t>
  </si>
  <si>
    <t>O laboratório atribui um número único de identificação da amostra  para cada amostra recebida no laboratório?</t>
  </si>
  <si>
    <t>Os números de identificação das amostras  são atribuídas de modo em que não haja duas amostras que recebam o mesmo número durante um ano?</t>
  </si>
  <si>
    <t>BON DE DEMANDE D'ANALYSE</t>
  </si>
  <si>
    <t xml:space="preserve">Revisar o formulário de solicitação da amostra. Existem campos individuais para cada um dos seguintes dados? </t>
  </si>
  <si>
    <t>Nome do paciente</t>
  </si>
  <si>
    <t>Data de nascimento ou idade do paciente</t>
  </si>
  <si>
    <t>Localização do paciente (Ala ou unidade no momento da coleta da amostra, por exemplo, "UTI")</t>
  </si>
  <si>
    <t>Origine de l'échantillon / localisation anatomique (par exemple bras)</t>
  </si>
  <si>
    <t>Origem da Amostra/ Parte do corpo  (Ex. Braço)</t>
  </si>
  <si>
    <t>Data da coleta de amostra</t>
  </si>
  <si>
    <t>Hora da coleta da amostra</t>
  </si>
  <si>
    <t>Solicitação de teste (ex., cultura e TSA)</t>
  </si>
  <si>
    <t>Nome do médico solicitante</t>
  </si>
  <si>
    <t>Nom ou initiales de la personne qui prélève l'échantillon</t>
  </si>
  <si>
    <t>Nome ou iniciais da pessoa que coletou a amostra</t>
  </si>
  <si>
    <t>ENTRADA DO PEDIDO</t>
  </si>
  <si>
    <t xml:space="preserve">Avaliar o processo de recepção de amostras/pedidos.  As seguintes variáveis são ​​capturadas no livro de registro ou no sistema eletrônico? </t>
  </si>
  <si>
    <t>Analyses demandées (par exemple culture et TSA)</t>
  </si>
  <si>
    <t>Nom du médecin qui a prescrit l'analyse</t>
  </si>
  <si>
    <t>Nom ou initiales de la personne réceptionnant l'échantillon</t>
  </si>
  <si>
    <t>Nome ou iniciais da pessoa que recebeu a amostra</t>
  </si>
  <si>
    <t>La feuille de paillasse est l'endroit où les observations de culture et les résultats des tests biochimiques sont enregistrés. Les feuilles de paillasse peuvent être en papier ou électroniques.</t>
  </si>
  <si>
    <t>O cartão de trabalho é onde se registram as observações de cultura e os resultados dos testes bioquímicos. Os cartões de trabalho podem ser em papel ou formato eletrônico.</t>
  </si>
  <si>
    <t>Passez en revue la feuille de paillasse d'une culture récemment terminée. Les éléments suivants sont-ils renseignés?</t>
  </si>
  <si>
    <t>Revise o cartão de trabalho de uma cultura concluída recentemente. Os seguintes elementos estão registrados?</t>
  </si>
  <si>
    <t>Coloração de Gram da amostra (Ex. Coloração de Gram de escarro)</t>
  </si>
  <si>
    <t>Description des morphologies de colonies (par exemple "muqueuse, lactose-fermentant" ou "bêta-hémolytique")</t>
  </si>
  <si>
    <t>Coloration de Gram des colonies bactérienne (cocci à Gram positif, bacilles à Gram négatif, etc.)</t>
  </si>
  <si>
    <t>Coloração de Gram de colônias bacterianas (cocos Gram positivos, bacilos Gram negativos, etc.)</t>
  </si>
  <si>
    <t>Resultados das provas bioquímicas (ex., "catalase positiva") para métodos de ensaio convencionais</t>
  </si>
  <si>
    <t>Método de TSA utilizado para cada antibiótico (Ex, Disco, Etest, Instrumento)</t>
  </si>
  <si>
    <t>Dimaètre d'inhibition (disque)</t>
  </si>
  <si>
    <t xml:space="preserve">Tamanhos dos Halos de Inibição </t>
  </si>
  <si>
    <t>Interprétation du diamètre d'inhibition (S / I / R)</t>
  </si>
  <si>
    <t>Interpretação do Disco- difusão (S / I / R)</t>
  </si>
  <si>
    <t>Valeurs de la CMI</t>
  </si>
  <si>
    <t>Valores de MIC / CIM</t>
  </si>
  <si>
    <t>Interprétation de CMI (S / I / R)</t>
  </si>
  <si>
    <t>Interpretação do MIC (S / I / R)</t>
  </si>
  <si>
    <t>Décrire le système utilisé par le laboratoire pour enregistrer les observations de culture</t>
  </si>
  <si>
    <t>Descreva o sistema do laboratório para registrar as observações de cultura</t>
  </si>
  <si>
    <t>1: Sistema de Informação Laboratorial (SIL)</t>
  </si>
  <si>
    <t>2: Entièrement électronique, mais pas un SIL à proprement parler (Word, Excel, par exemple)</t>
  </si>
  <si>
    <t>2: Totalmente eletrônico, mas não SIL (Ex, Word, Excel)</t>
  </si>
  <si>
    <t>3: Ecrit à la main sur une fiche de travail papier (par exemple, au verso de la demande d'échantillon) ou dans un cahier de paillasse</t>
  </si>
  <si>
    <t>3: Manuscritas em um cartão de trabalho de papel (ex. no verso da requisição da amostra) ou em livro de registro</t>
  </si>
  <si>
    <t>4: Combinação do registro escrito à mão e eletrônico</t>
  </si>
  <si>
    <t>5: Os resultados internos não são registrados rotineiramente</t>
  </si>
  <si>
    <t>Les observations de culture / feuilles de paillasse sont-elles conservées pendant une période définie (au moins un an)?</t>
  </si>
  <si>
    <t>As observações da cultura / cartões de trabalho são mantidas por um período de tempo definido (pelo menos um ano)?</t>
  </si>
  <si>
    <t>COMPTE RENDU DE RÉSULTATS DE TSA</t>
  </si>
  <si>
    <t xml:space="preserve">NOTIFICAÇÃO DOS RESULTADOS DE TSA </t>
  </si>
  <si>
    <t>Décrire le système utilisé par le laboratoire pour la communication des résultats du TSA au médecin / client</t>
  </si>
  <si>
    <t>Descreva o sistema do laboratório para informar os resultados de TSA para o médico / cliente</t>
  </si>
  <si>
    <t>1: Sistema totalmente eletrônico - o médico não recebe papel do laboratório</t>
  </si>
  <si>
    <t>2: Combinação de relatórios em papel e formato eletrônico</t>
  </si>
  <si>
    <t>3: Sistema baseado em papel totalmente</t>
  </si>
  <si>
    <t>Si les résultats de TSA sont entièrement ou partiellement communiqués aux médecins sur papier, veuillez décrire ce système.</t>
  </si>
  <si>
    <t>Se os resultados de TSA são totalmente ou parcialmente emitidos em papel para os médicos, por favor descreva esse sistema.</t>
  </si>
  <si>
    <t>1: Impresso a partir do Sistema de Informação Laboratorial</t>
  </si>
  <si>
    <t>2: Impresso do instrumento ID / TSA (ex., Vitek, Phoenix, etc.)</t>
  </si>
  <si>
    <t>3: Impresso a partir de um programa de computador não-SIL (ex. Word, Excel)</t>
  </si>
  <si>
    <t>4: Primariamente escrito a mão no papel</t>
  </si>
  <si>
    <t>Os relatórios de TSA são retidos por um período de tempo definido (pelo menos um ano)?</t>
  </si>
  <si>
    <t>SAUVEGARDE ET SECURITE DES DONNÉES</t>
  </si>
  <si>
    <t>SEGURANÇA E CÓPIA DE SEGURANÇA DOS DADOS</t>
  </si>
  <si>
    <t>Quelle méthode est utilisée pour sauvegarder les dossiers informatisés  des patients du laboratoire?</t>
  </si>
  <si>
    <t xml:space="preserve">Que método é utilizado no laboratório para fazer backup de registros eletrônicos dos pacientes? </t>
  </si>
  <si>
    <t>1: Serveur virtuel ou physique - 2: Disque dur externe, USB ou CD - 3: Disque dur interne (PC ou ordinateur portable) - 4: Aucun - NA: n'utilise pas de base de données informatisée pour les dossiers des patients.</t>
  </si>
  <si>
    <t>1: Servidor local ou em nuvem - 2: Disco rígido externo, USB ou CD - 3: Disco rígido interno (PC ou laptop) - 4: Nenhum - NA: não utiliza banco de dados eletrônicos para registros de pacientes</t>
  </si>
  <si>
    <t>À quelle fréquence les données informatisées du laboratoire sont-ils sauvegardés?</t>
  </si>
  <si>
    <t>Com que frequência é realizada a cópia de segurança dos registros eletrônicos do laboratório?</t>
  </si>
  <si>
    <t>1: tous les jours / de façon continue - 2: autre fréquence, préciser dans les commentaires - 3: jamais - NA: pas de base de données informatique</t>
  </si>
  <si>
    <t>1: Diariamente / Continuamente - 2: Outra frequência, especificar nos comentários - 3: Nunca - NA: nenhum banco de dados eletrônico</t>
  </si>
  <si>
    <t>O laboratório ou instituição tem uma política e /ou POP sobre cópias de segurança de dados e restauração?</t>
  </si>
  <si>
    <t>O laboratório ou instituição tem uma política e /ou POP sobre segurança e confidencialidade de dados?</t>
  </si>
  <si>
    <t>Os computadores de laboratório tem software antivírus?</t>
  </si>
  <si>
    <t>Os computadores de laboratório tem sistemas operacionais genuínos (não piratas)?</t>
  </si>
  <si>
    <t>O laboratório é atualmente membro de algum sistema de vigilância de RAM?</t>
  </si>
  <si>
    <t>GLASS (Sistema Mundial de Vigilância da Resistência aos Antimicrobianos) da OMS</t>
  </si>
  <si>
    <t>Outro, por favor descreva nos comentários</t>
  </si>
  <si>
    <t>Quais dos seguintes métodos é utilizado ​​atualmente para enviar dados para a (s)rede (s) de vigilância da RAM?</t>
  </si>
  <si>
    <t>Mais de um pode ser utilizado. Se o laboratório não participa atualmente na vigilância  da RAM, selecione NA</t>
  </si>
  <si>
    <t>O laboratório envia formulários de papel a um coordenador da RAM</t>
  </si>
  <si>
    <t>O laboratório insere os dados em uma folha de cálculo do Excel</t>
  </si>
  <si>
    <t>Le laboratoire saisit les données dans une base de données en ligne</t>
  </si>
  <si>
    <t>O laboratório insere os dados em um banco de dados online</t>
  </si>
  <si>
    <t>Le laboratoire saisit les données dans WHONET</t>
  </si>
  <si>
    <t>O laboratório insere os dados no WHONET</t>
  </si>
  <si>
    <t>Le laboratoire exporte un fichier à partir de l'automate de TSA</t>
  </si>
  <si>
    <t>O laboratório exporta um arquivo de dados a partir do instrumento automatizado de TSA</t>
  </si>
  <si>
    <t>O laboratório exporta um arquivo de dados a partir do SIL</t>
  </si>
  <si>
    <t>Se o laboratório já tentou alguma vez usar BacLink para transferir dados do SIL para o WHONET, algum dos seguintes problemas foram encontrados?</t>
  </si>
  <si>
    <t>O arquivo de exportação do SIL estava faltando alguns dos campos de dados necessários</t>
  </si>
  <si>
    <t xml:space="preserve">O arquivo de exportação do SIL mesclou/ combinou campos de dados diferentes em uma única coluna </t>
  </si>
  <si>
    <t>Le fichier d'exportation SIL reconnaît pas les résultats d'antibiotiques par la méthode TSA</t>
  </si>
  <si>
    <t>O arquivo de exportação do SIL não distingue resultados dos antibióticos por método de TSA</t>
  </si>
  <si>
    <t>Le fichier d'exportation SIL ne contient pas de les diamètres d'inhibition  ni la valeur de la CIM</t>
  </si>
  <si>
    <t>O arquivo de exportação do SIL não contém os diâmetros dos halos de inibição ou  valores do MIC</t>
  </si>
  <si>
    <t>Si le laboratoire a déjà essayé d'utiliser BacLink pour transférer de l'automate de TSA vers WHONET, l'un des problèmes suivants a-t-il été rencontré?</t>
  </si>
  <si>
    <t>Se o laboratório já tentou alguma vez usar BacLink para transferir dados a partir do instrumento automatizado de TSA para WHONET, algum dos seguintes problemas foram encontrados?</t>
  </si>
  <si>
    <t>Il manquait dans le fichier d'exportation de l'automate certains des champs de données obligatoires (comme les données démographiques du patient).</t>
  </si>
  <si>
    <t>O arquivo exportado pelo instrumento estava faltando alguns dos campos de dados necessários (como dados demográficos do paciente)</t>
  </si>
  <si>
    <t>Le fichier d'exportation de l'automate a fusionné / combiné différents champs de données dans une seule colonne</t>
  </si>
  <si>
    <t xml:space="preserve">O arquivo exportado do instrumento mesclou/combinou campos de dados diferentes em uma única coluna </t>
  </si>
  <si>
    <t>Les valeurs de la CIM manquaient dans le fichier d'exportation de l'automate</t>
  </si>
  <si>
    <t>O arquivo exportado pelo instrumento foi faltando valores de MIC</t>
  </si>
  <si>
    <t>Les valeurs SIR manquaient dans le fichier d'exportation de l'automate</t>
  </si>
  <si>
    <t>O arquivo exportado pelo instrumento foi faltando valores de S-I-R</t>
  </si>
  <si>
    <t>4- GARANTIA DA QUALIDADE</t>
  </si>
  <si>
    <t>STRUCTURE / BASE DU SMQ</t>
  </si>
  <si>
    <t>Existe um Manual de Qualidade que esteja em conformidade com as normas ISO? (15189, 17025 ou 9001)?</t>
  </si>
  <si>
    <t>O laboratório designou formalmente um Responsável ou Gerente da Qualidade?</t>
  </si>
  <si>
    <t>Existe um Ponto Focal da Qualidade em bacteriologia, colaborando com o  Gerente da Qualidade?</t>
  </si>
  <si>
    <t>Existe documentação demonstrando que os Responsáveis da Qualidade e os Pontos Focais tem recebido formação adequada em Sistemas de Gestão da Qualidade (SGQ)?</t>
  </si>
  <si>
    <t>1: Sim - 2: Alguns, mas gostariam de  treinamento adicional - 3: Nenhum treinamento documentado</t>
  </si>
  <si>
    <t xml:space="preserve">Com que frequência um Supervisor ou Responsável da Qualidade revisa os resultados de CQ dos meios, identificação e TSA? </t>
  </si>
  <si>
    <t>1:Semanal - 2: Mensal - 3: Esporadicamente - 4: Nunca</t>
  </si>
  <si>
    <t>Existe evidência de que a revisão de QC é realizada com a frequência estabelecida?</t>
  </si>
  <si>
    <t>1: Sim, para todos os resultados de CQ - 2: Sim, mas apenas para alguns resultados de CQ - 3: Não</t>
  </si>
  <si>
    <t xml:space="preserve">Existe documentação demostrando que o Supervisor/ Responsável da Qualidade receberam treinamento sobre como solucionar efetivamente as falhas de CQ? </t>
  </si>
  <si>
    <t>1: Sim - 2: Alguns, mas gostariam de treinamento adicional - 3: Nenhum treinamento documentado</t>
  </si>
  <si>
    <t>Um supervisor ou pessoa designada revisa os resultados positivos de cultura todos os dias?</t>
  </si>
  <si>
    <t>Existe-t-il des directives écrites indiquant qui est autorisé à modifier les résultats de laboratoire incorrects une fois qu'ils ont été rapportés?</t>
  </si>
  <si>
    <t>Existem diretrizes escritas que indiquem quem está autorizado a  modificar resultados errôneos do laboratório depois de terem sido relatados?</t>
  </si>
  <si>
    <t>Qui est autorisé à modifier des résultats de laboratoire incorrects?</t>
  </si>
  <si>
    <t>Quem está autorizado a modificar os resultados errôneos do laboratório?</t>
  </si>
  <si>
    <t>1: Supervisores e/ou pessoas com permissão de supervisão - 2: Todos os microbiologistas</t>
  </si>
  <si>
    <t>Lorsque des corrections sont apportées aux résultats du patient, que fait-on du résultat incorrect?</t>
  </si>
  <si>
    <t>Quando são feitas correções nos resultados dos pacientes, o que é feito com o resultado errôneo?</t>
  </si>
  <si>
    <t>1: Les résultats incorrectes restent consutables mais sont modifiés pour indiquer qu'ils sont incorrects - 2: Les résultats incorrects sont supprimés du dossier - 3: Autres (expliquer dans les commentaires)</t>
  </si>
  <si>
    <t>1: Os resultados errados permanecem no local, mas são alterados para refletir que eles estão errados - 2: Resultados errados são excluídos do registro - 3: Outro (explicar nos comentários)</t>
  </si>
  <si>
    <t xml:space="preserve">EDUCAÇÃO /TREINAMENTO / COMPETÊNCIAS DO PESSOAL DO LABORATÓRIO </t>
  </si>
  <si>
    <t>Pelo menos 50% da equipe técnica possui educação formal em microbiologia ou análises clínicas? (Consulte a  figura na coluna D)</t>
  </si>
  <si>
    <t>O laboratório conta com pessoal em número suficiente para fornecer serviços de alta qualidade? (Incluindo pessoal de apoio.)</t>
  </si>
  <si>
    <t>O laboratório tem um processo padronizado para treinamento de novos funcionários?</t>
  </si>
  <si>
    <t>O laboratório tem uma documentação atualizada que demonstre em que bancadas e que tipo de testes cada membro da equipe foi treinado e aprovado para trabalhar de forma independente? (Revisar os registros)</t>
  </si>
  <si>
    <t>Examen cytobactériologique des urines</t>
  </si>
  <si>
    <t>Coproculture</t>
  </si>
  <si>
    <t>Culturas Respiratórias (não TB)</t>
  </si>
  <si>
    <t>Culture des prélèvement de plaies</t>
  </si>
  <si>
    <t>Culturas de Feridas</t>
  </si>
  <si>
    <t>Culturas de Liquido Cefalorraquidiano</t>
  </si>
  <si>
    <t>Culturas de Líquidos Corporais Estéreis</t>
  </si>
  <si>
    <t>Testes de Sensibilidade a Antibióticos</t>
  </si>
  <si>
    <t>Norma: deve-se avaliar a competência do pessoal de laboratório recém-contratado antes de executar tarefas independentes e novamente em seis meses. Todo o pessoal de laboratório deve ser avaliado periodicamente para testes de competência, pelo menos uma vez por ano. Pessoal designado para uma nova seção deve ser avaliado antes de trabalhar de forma independente. Quando deficiências são observadas, uma reciclagem e uma reavaliação devem ser planejadas e documentadas. Se a competência do funcionário permanece abaixo do padrão, novas medidas podem incluir  supervisão do trabalho, re-atribuição de funções, ou outras ações adequadas. Os registros das avaliações de competências e ações resultantes devem ser mantidos em arquivos de pessoal e/ou registos de qualidade. Os registros devem mostrar quais habilidades foram avaliadas, como essas habilidades foram medidas, e quem realizou a avaliação.</t>
  </si>
  <si>
    <t>SOLUÇÃO DE PROBLEMAS E ANÁLISE DE CAUSA-RAÍZ</t>
  </si>
  <si>
    <t>A análise de causa raiz é executada quando são obtidos resultados inaceitáveis de CQ ? (Solicite ver um exemplo recente)</t>
  </si>
  <si>
    <t>Uma ação corretiva está documentada com base nas conclusões da análise da causa-raiz?</t>
  </si>
  <si>
    <t>Existe evidência que o Supervisor ou Responsável pela Qualidade tenha recebido formação adequada sobre como realizar análise de causa raiz de falhas do CQ?</t>
  </si>
  <si>
    <t>1: Sim - 2: Alguns, mas gostariam de  treinamento adicional - 3: Não</t>
  </si>
  <si>
    <t>Les résultats des patients sont-ils rapportés si le CQ du milieux la méthode d'identification ou la méthode TSA n'a pas été effectué?</t>
  </si>
  <si>
    <t xml:space="preserve">Os resultados dos pacientes são relatados em caso de não realização de CQ  dos meios, do método de identificação e do método de TSA? </t>
  </si>
  <si>
    <t>Os resultados dos pacientes são relatados em caso dos CQ  dos meios, do método de identificação e do método de TSA não tiverem resultados aceitáveis?</t>
  </si>
  <si>
    <t>Existe-t-il des preuves que le laboratoire résoud les problèmes engendrant des résultats de CQ inacceptables pour les milieux, les réactifs, les systèmes d'identification et les méthodes TSA?</t>
  </si>
  <si>
    <t>Existe evidência de que o laboratório resolve os resultados de CQ inaceitáveis ​​de meios, reagentes, sistemas de identificação e métodos de TSA?</t>
  </si>
  <si>
    <t>Si des automates sont utilisés pour l'identification (par exemple, Vitek, Phoenix, Microscan), existe-t-il un manuel d'utilisation ou une PON décrivant comment résoudre les pannes de l'instrument?</t>
  </si>
  <si>
    <t xml:space="preserve">Caso instrumentos automatizados sejam utilizados ​​para ID, (Ex., Vitek, Phoenix, Microscan) existe manual ou POP que descreve como solucionar falhas de instrumento? </t>
  </si>
  <si>
    <t>Marque NA se laboratório não usa instrumento automatizado</t>
  </si>
  <si>
    <t>Combien de fois par an le laboratoire reçoit-il des tests d'EEQ / Tests de panel incluant à la fois l'identification bactérienne et le TSA? (Veuillez ne pas inclure les tests conçus pour un seul organisme, par exemple, la tuberculose ou N.gonorrhoeae)</t>
  </si>
  <si>
    <t>1: Uma vez por ano; 2: Duas vezes por ano; 3: Três vezes por ano ou mais; 4: Zero (se zero, por favor responda a pergunta seguinte, e depois passe para a próxima seção)</t>
  </si>
  <si>
    <t>Se o laboratório não participa de um programa de AEQ, qual é a razão? (Informativa, não se pontua)</t>
  </si>
  <si>
    <t>Le fournisseur d'EEQ / TP est-il accrédité ISO-17043?</t>
  </si>
  <si>
    <t>Veuillez lister les fournisseurs dans les commentaires</t>
  </si>
  <si>
    <t>Por favor, liste os provedores nos comentários.</t>
  </si>
  <si>
    <t>Os métodos utilizados para os isolados da AEQ são os mesmos utilizados para os isolados da rotina de amostras de pacientes?</t>
  </si>
  <si>
    <t xml:space="preserve">O laboratório realiza testes adicionais em um isolado da AEQ comparado ao que seria realizado em um isolado de paciente? </t>
  </si>
  <si>
    <t>O laboratório envia isolados da AEQ para outro laboratório para confirmação antes de enviar os resultados?</t>
  </si>
  <si>
    <t>O laboratório liga para outro laboratório para perguntar qual seu resultado da AEQ antes de enviar os resultados?</t>
  </si>
  <si>
    <t>Les échantillons de TP / EEQ sont-ils testés par le même personnel effectuant l'analyse des patients? (Cherchez des preuves que tout le personnel participe aux tests pas seulement les superviseurs ou les cadres supérieurs)</t>
  </si>
  <si>
    <t>As amostras da AEQ/TP são testadas pela mesma equipe que realiza os testes dos paciente? (Busque evidência de  que todo o pessoal participa da AEQ/TP, não somente supervisores ou funcionários experientes)</t>
  </si>
  <si>
    <t>En moyenne, combien de temps le laboratoire doit-il attendre avant de recevoir les résultats de ses performances de TP / EEQ?</t>
  </si>
  <si>
    <t xml:space="preserve">Em média, quanto tempo o laboratório tem que esperar para receber os resultados de seu desempenho na AEQ/TP? </t>
  </si>
  <si>
    <t>1: Menos de 2 meses; 2: 2 - 6 meses; 3: Mais de 6 meses; NA: não tem AEQ</t>
  </si>
  <si>
    <t>Si les rapports ne sont pas disponibles et consultables, sélectionnez "Aucun".</t>
  </si>
  <si>
    <t>Se as notas não estão disponíveis para a análise, selecione "Nenhuma"</t>
  </si>
  <si>
    <t>Une analyse des causes profondes est-elle effectuée lorsque des résultats inacceptables de TP / EEQ sont obtenus? (Demandez de voir un exemple récent)</t>
  </si>
  <si>
    <t>A análise de causa raiz é executada quando são obtidos resultados inaceitáveis de TP/AEQ ? (Solicite ver um exemplo recente)</t>
  </si>
  <si>
    <t>Existe evidência que o Supervisor ou Responsável pela Qualidade tenha recebido formação adequada sobre como realizar análise de causa raiz de falhas da AEQ?</t>
  </si>
  <si>
    <t>1: Sim - 2: Alguns, mas gostariam de treinamento adicional - 3: Não</t>
  </si>
  <si>
    <t>La direction du laboratoire est-elle informée de tous les résultats de l'EEQ non conformes dès leur réception?</t>
  </si>
  <si>
    <t xml:space="preserve">O responsável do laboratório é notificado de todos os resultados  inaceitáveis ​​da AEQ assim que eles são recebidos? </t>
  </si>
  <si>
    <t>5-PREPARAÇÃO DE MEIOS E CONTROLE DE QUALIDADE</t>
  </si>
  <si>
    <t>POPs DE PREPARAÇÃO DE MEIOS</t>
  </si>
  <si>
    <t>Des POS spécifiques aux milieux sont-elles en place pour chaque type de milieux reconstitués en interne?</t>
  </si>
  <si>
    <t xml:space="preserve">Existem POPs específicos para cada tipo de meio reconstituído no laboratório? </t>
  </si>
  <si>
    <t>Todos os registros de preparação de meios, incluem os seguintes dados?</t>
  </si>
  <si>
    <t>Nom du milieu</t>
  </si>
  <si>
    <t>Nome do meio</t>
  </si>
  <si>
    <t>Data de preparo</t>
  </si>
  <si>
    <t>Número do lote</t>
  </si>
  <si>
    <t>Quantidade feita</t>
  </si>
  <si>
    <t>Nome da pessoa que preparou</t>
  </si>
  <si>
    <t>Data de validade</t>
  </si>
  <si>
    <t>Observez des milieux reconstitués en interne, chaque lot est-il clairement étiqueté avec ce qui suit?</t>
  </si>
  <si>
    <t>Observe os meios reconstituídos no laboratório, cada lote está claramente identificado com os seguintes dados?</t>
  </si>
  <si>
    <t>Data de preparação</t>
  </si>
  <si>
    <t>Data de abertura</t>
  </si>
  <si>
    <t xml:space="preserve">PREPARAÇÃO GERAL DOS MEIOS </t>
  </si>
  <si>
    <t>Os meios são preparados em uma área separada da sala onde amostras e culturas são processadas?</t>
  </si>
  <si>
    <t>Os meios são preparados em uma sala limpa?</t>
  </si>
  <si>
    <t>Água deionizada (DI) ou água destilada é utilizada para preparar todos os meios?</t>
  </si>
  <si>
    <t>Les suspensions de milieux sont-elles mélangées avec une barre d'agitation magnétique pendant l'ébullition?</t>
  </si>
  <si>
    <t>As suspensões dos meios são misturadas com uma barra de agitação magnética durante a fervura?</t>
  </si>
  <si>
    <t>A suspensão autoclavada é arrefecida a 45-50 ° C antes de colocar compostos adicionais (ex., sangue)?</t>
  </si>
  <si>
    <t>Quelle est la source de sang utilisée pour fabriquer les géloses au sang, géloses chocolat et / ou  MHB?</t>
  </si>
  <si>
    <t>Qual é a fonte do sangue utilizado para fazer placas de ágar sangue,  chocolate, e / ou MHB?</t>
  </si>
  <si>
    <t>1: Sang de mouton - 2: Sang humain (par exemple, à partir de poches expirées) - 3: Autre source (veuillez préciser dans les commentaires)</t>
  </si>
  <si>
    <t xml:space="preserve">1: Sangue de carneiro - 2: Sangue humano (Ex. a partir bolsas de sangue embaladas e expiradas) - 3: Outra fonte (por favor descreva nos comentários) </t>
  </si>
  <si>
    <t>O pH é registrado para todos os meios preparados no laboratório?</t>
  </si>
  <si>
    <t>Todos os meios preparados são armazenados de  2-8 ° C até a sua utilização?</t>
  </si>
  <si>
    <t>As placas são armazenados dentro de sacos/mangas para evitar a desidratação?</t>
  </si>
  <si>
    <t>PREPARAÇÃO DE ÁGUA DESTILADA/DEIONIZADA</t>
  </si>
  <si>
    <t xml:space="preserve">Se o laboratório ou instituição produz a sua própria água destilada ou deionizada, há registros de CQ para os seguintes dados? </t>
  </si>
  <si>
    <t>Condutividade</t>
  </si>
  <si>
    <t>Esterilidade</t>
  </si>
  <si>
    <t xml:space="preserve">Se o laboratório compra água destilada ou deionizada, a mesma vem com um Certificado de Análise demonstrando que o pH, a esterilidade e a condutividade estão adequados? </t>
  </si>
  <si>
    <t>Est-ce que la stérilité des nouveaux lots de milieux est contrôlée en incubant une fraction des boîtes non ensemencées?</t>
  </si>
  <si>
    <t xml:space="preserve">Os novos lotes dos meios tem a sua esterilidade verificada, incubando uma porção de placas não inoculadas? </t>
  </si>
  <si>
    <t>Os meios tem sua qualidade controlada utilizando cepas  ATCC ou derivadas da ATCC?</t>
  </si>
  <si>
    <t>1: Todos- 2: Alguns - 3: Nenhum</t>
  </si>
  <si>
    <t>Les enregistrements démontrent-ils que le contrôle de qualité est effectué pour chaque lot nouvellement reconstitué ou tout nouveau numéro de lot / récetption d'une nouvelle livraison de milieux?</t>
  </si>
  <si>
    <t xml:space="preserve">Os registros demonstram que o CQ é realizado em cada lote recém-reconstituído ou  número de lote / remessa de meios recém- recebido? </t>
  </si>
  <si>
    <t xml:space="preserve">Os registros de CQ para as placas de ágar sangue demonstram que são verificadas quanto à sua capacidade  para o crescimento de organismos exigentes, tais como Streptococcus pneumoniae? </t>
  </si>
  <si>
    <t>Os registros de CQ para placas de ágar de chocolate demonstram que eles são verificados quanto à sua capacidade para suportar o crescimento de organismos exigentes, tais como Neisseria gonorrhoeae ou H. influenzae?</t>
  </si>
  <si>
    <t>O Ágar MacConkey (MAC) e o Eosina azul de metileno (EMB)  contém sais biliares e / ou corantes que são tóxicos para as bactérias Gram-positivas quando feitos corretamente. Os registros de CQ para MAC e / ou placas EMB demonstram que cada lote é desafiado usando um organismo Gram positivo?</t>
  </si>
  <si>
    <t>Les colorants et les indicateurs de pH dans les boîtes MAC et EMB fournissent un indicateur coloré permettant de distinguer les organismes à Gram négatif qui fermentent le lactose (LF) et ceux qui ne fermentent pas le lactose (NLF). Est-ce que les enregistrements de contrôle de qualité pour les boîtes MAC et / ou EMB démontrent que chaque lot /série est testé en utilisant à la fois des organismes LF et NLF?</t>
  </si>
  <si>
    <t>Corantes e indicadores de pH em placas EMB e MAC proporcionam um indicador de cor para distinguir entre organismos Gram negativos fermentadores de lactose (LF) e não-fermentadores de lactose (FNL) Gram. Os registros de CQ para MAC e / ou placas EMB demonstram que cada lote/ número de lote é desafiado usando tanto LF e organismos NLF?</t>
  </si>
  <si>
    <t>Os registros de CQ para placas de ágar seletivas para fezes  (Ex, XLD, SS, HE) demonstram que são verificadas quanto à sua capacidade para suprimir o crescimento de organismos Gram-positivos?</t>
  </si>
  <si>
    <t>Os registros de CQ para placas de ágar seletivas para fezes demonstram que são verificadas quanto à sua capacidade de fazer visíveis os subprodutos ácidos da fermentação de carboidratos usando ambos os fermentadores e não fermentadores?</t>
  </si>
  <si>
    <t>Norma: CAP MIC.21300; SANAS TG 28-02: 6.1 O desempenho adequado dos meios de cultura, diluentes, e outras suspensões preparadas no laboratório (in-house) devem ser verificados, se for caso, no que diz respeito a recuperação ou a manutenção de sobrevivência de organismos alvo, inibição ou supressão de organismos não-alvo, propriedades bioquímicas (diferencial e de diagnóstico), propriedades físicas (ex., pH, volume, e esterilidade).</t>
  </si>
  <si>
    <t>PREPARAÇÃO E CQ DE MEIOS DE MULLER HINTON</t>
  </si>
  <si>
    <t>Examinez les boîtes et la procédure opératoire standard du laboratoire pour les milieux Mueller Hinton:</t>
  </si>
  <si>
    <t>Examine as placas de Mueller Hinton do laboratório e seu POP para o seguinte:</t>
  </si>
  <si>
    <t>Les géloses Mueller Hinton déshydratées (dHMA) sont-elles conformes aux normes ISO 16782 (CLSI M6)? (Faible teneur en thymine / thymidine, non complémentée par des cations Mg ++ ou Ca ++)</t>
  </si>
  <si>
    <t>O meio desidratado de Mueller Hinton Agar (dHMA) atende as normas ISO 16782 (CLSI M6)? (Baixo teor de timina / timidina, não suplementado com cátions Mg ++ ou Ca ++ )</t>
  </si>
  <si>
    <t>O laboratório adiciona cátions cálcio ou magnésio ao ágar dMHA?</t>
  </si>
  <si>
    <t>Les gélosess ont-elles une épaisseur uniforme d'environ 4 mm? Vérifiez en examinant un lot récent.</t>
  </si>
  <si>
    <t>As placas têm uma profundidade uniforme de aproximadamente 4 milímetros? Verifique examinando um lote recente.</t>
  </si>
  <si>
    <t>Les géloses sont-elles coulées sur une surface plane?</t>
  </si>
  <si>
    <t>As placas são feitas sobre uma superfície plana?</t>
  </si>
  <si>
    <t>Há registos que  demonstram que o pH é de  7.2-7.4 para cada lote?</t>
  </si>
  <si>
    <t>Les enregistrements indiquent-ils que la stérilité est contrôlée pour chaque lot? (En incubant une partie des boîtes non inoculées, idéalement 5%)</t>
  </si>
  <si>
    <t>Os registros indicam que a esterilidade é verificada para cada lote? (Por incubação de uma porção de placas não inoculadas, de preferência 5%)</t>
  </si>
  <si>
    <t>As placas são armazenadas de 2-8 ° C até à sua utilização?</t>
  </si>
  <si>
    <t>As placas são armazenadas dentro de sacos / bolsas para evitar a desidratação?</t>
  </si>
  <si>
    <t>Les registres de contrôle de la qualité indiquent-ils que chaque lot de gélose Mueller Hinton est vérifié pour sa capacité à produire les diamètres  attendues à l'aide des souches de référence et des antibiotiques ATCC suivants?</t>
  </si>
  <si>
    <t>Os registros de CQ indicam que cada lote de ágar Mueller Hinton é verificado pela sua capacidade de produzir halos de inibição esperados usando as seguintes cepas de referência ATCC e antibióticos?</t>
  </si>
  <si>
    <t>Pseudomonas aeruginosa 27853 e disco de gentamicina</t>
  </si>
  <si>
    <t>Enterococcus faecalis 29212 ou 33186 e disco sulfametoxazol-trimetoprim</t>
  </si>
  <si>
    <t>Marque NA se o laboratório não usa MHB</t>
  </si>
  <si>
    <t xml:space="preserve">PRÉPARATION ET CQ DES FLACONS D'HEMOCULTURE </t>
  </si>
  <si>
    <t xml:space="preserve">PREPARAÇÃO E CQ DOS FRASCOS DE HEMOCULTURA </t>
  </si>
  <si>
    <t>Le laboratoire prépare-t-il ses propres flacons d'hémoculture?</t>
  </si>
  <si>
    <t>O laboratório prepara frascos de hemocultura in-house?</t>
  </si>
  <si>
    <t>Se não, responder N/A às perguntas seguintes</t>
  </si>
  <si>
    <t>Que caldo base é utilizado? ( O caldo tem que suportar o crescimento de uma vasta gama de espécies bacterianas)</t>
  </si>
  <si>
    <t>1-Infusão de cérebro-coração, 2-Peptona suplementada, 3-Digestão de caseína de soja (soja tríptica), 4-Tioglicolato, 5-Tiol, 6-Colômbia, 7-Brucella, 8-Outro, NA</t>
  </si>
  <si>
    <t>O Polianetol Sulfonato de Sódio (SPS) é adicionado? (Um anticoagulante e estabilizador de crescimento)</t>
  </si>
  <si>
    <t>Se sim, por favor descreva nos comentários</t>
  </si>
  <si>
    <t>Des résines ou du charbon sont-ils ajoutés? (pourneutraliser les antimicrobiens présents dans le sang du patient)</t>
  </si>
  <si>
    <t>Alguma resina ou carvão vegetal é adicionado? (Para se unir aos antimicrobianos presentes no sangue do paciente)</t>
  </si>
  <si>
    <t>50 ml de bouillon sont-ils distribués dans des flacons stériles pour adultes? (Ratio 1: 5 sang: bouillon)</t>
  </si>
  <si>
    <t>Um total de 50 ml de caldo é dispensado em frascos esterilizados para pacientes adultos? (Proporção: 1: 5 sangue: caldo)</t>
  </si>
  <si>
    <t>25 ml de bouillon sont-ils distribués dans des flacons stériles pour les patients pédiatriques? (Ratio 1: 5 sang: bouillon)</t>
  </si>
  <si>
    <t>Um total de 25 ml de caldo é dispensado em frascos esterilizados para pacientes pediátricos? (Proporção: 1: 5 sangue: caldo)</t>
  </si>
  <si>
    <t>Les enregistrements des CQ pour les flacons d'hémoculture indiquent-ils les éléments suivants:</t>
  </si>
  <si>
    <t>Os registros de CQ para garrafas de hemocultura indicam o seguintes dados?</t>
  </si>
  <si>
    <t>Inspeção visual realizada e documentada</t>
  </si>
  <si>
    <t>La stérilité est vérifiée en incubant une partie des flacons non inoculés? (Idéalement 5%)</t>
  </si>
  <si>
    <t>Verificação da esterilidade por incubação de uma porção de frascos não inoculados? (Idealmente 5%)</t>
  </si>
  <si>
    <t>Capacidade de suportar o crescimento de Streptococcus pneumoniae</t>
  </si>
  <si>
    <t>La capacité à favorises la croissance d'Haemophilus influenzae est vérifiée</t>
  </si>
  <si>
    <t>Capacidade de suportar o crescimento de Haemophilus influenzae</t>
  </si>
  <si>
    <t>A l'approche de la date de péremption, le CQ est-il répété sur quelques flacons pour confirmer la stabilité à long terme du bouillon?</t>
  </si>
  <si>
    <t>Quando se aproxima da data de validade, se repete o CQ em algumas das garrafas para confirmar a estabilidade do caldo a longo prazo?</t>
  </si>
  <si>
    <t>Les flacons non utilisées sont-ils correctement étiquetées (nom, numéro de lot, date de production et date de péremption)?</t>
  </si>
  <si>
    <t>Os frascos não utilizados estão ​​rotulados corretamente (nome, número de lote, data de produção e data de validade)?</t>
  </si>
  <si>
    <t>6- CONTROLE DE QUALIDADE - MÉTODOS DE ID</t>
  </si>
  <si>
    <t>O CQ é realizado e os resultados são registados em cada nova preparação ou número de lote de reagentes para a coloração de Gram?</t>
  </si>
  <si>
    <t>1: Sim - 2: Parcial - 3: Não</t>
  </si>
  <si>
    <t>Norma: CAP MIC.21540, MIC.21624 Todos os procedimentos de coloração (coloração de Gram, colorações especiais e fluorescentes) devem ser verificadas e os resultados registrados para cada novo lote de coloração.</t>
  </si>
  <si>
    <t>O CQ da coloração de Gram é realizado utilizando organismos de controle tanto positivos como negativos?</t>
  </si>
  <si>
    <t>Observez les  colorants de Gram, les réactifs catalase, coagulase, oxydase et indole  utilisés par le laboratoire. Sont-ils étiquetés avec:</t>
  </si>
  <si>
    <t>Observe a coloração de Gram, catalase, coagulase, oxidase e reagentes de indol  em uso pelo laboratório. Eles são rotulados com:</t>
  </si>
  <si>
    <t>Nome do reagente</t>
  </si>
  <si>
    <t>Data de preparação / reconstituição (se for o caso, ex., coagulase)</t>
  </si>
  <si>
    <t>1: Todos - 2: Alguns - 3: Nenhum</t>
  </si>
  <si>
    <t>Les milieux en tube, les réactifs et les kits commerciaux sont-ils stockés aux températures indiquées par le fabricant?</t>
  </si>
  <si>
    <t>Os meios em tubos, reagentes e kits estão armazenados nas temperaturas indicadas pelo fabricante?</t>
  </si>
  <si>
    <t>CQ DE MÉTODOS BIOQÚIMICOS INDIVIDUAIS</t>
  </si>
  <si>
    <t>NOTA: Esta pergunta se aplica apenas aos meios em tubo e reagentes líquidos em uso pelo laboratório.</t>
  </si>
  <si>
    <t>NÃO se aplica aos poços de reagentes bioquímicos incorporados em sistemas de identificação pré-definidas.</t>
  </si>
  <si>
    <t xml:space="preserve">tal como Vitek, API, Liofilchem, etc. </t>
  </si>
  <si>
    <t>Les rapports de CQ comportent-ils ce qui suit? Si le réactif n'est pas utilisé, cocher NA</t>
  </si>
  <si>
    <t>Os registros de CQ demonstram o seguinte? Se não utiliza reagentes, marque NA</t>
  </si>
  <si>
    <t>Controle positivo é utilizado</t>
  </si>
  <si>
    <t>Controle negativo é utilizado</t>
  </si>
  <si>
    <t>O CQ é realizado utilizando cepas ATCC ou cepas derivadas do ATCC</t>
  </si>
  <si>
    <t xml:space="preserve">Gélose chromogène Staph </t>
  </si>
  <si>
    <t>Solubilidade em Bile (desoxicolato)</t>
  </si>
  <si>
    <t>Agglutination au latex pour le pneumocoque</t>
  </si>
  <si>
    <t>Aglutinação em látex para Strep pneumo</t>
  </si>
  <si>
    <t>Reagentes de Indol</t>
  </si>
  <si>
    <t>Ágar Tríplice Açúcar Ferro ou Agar Ferro de KLIGLER</t>
  </si>
  <si>
    <t>Prova de Oxidação- fermentação (OF) da glicose ou dextrose</t>
  </si>
  <si>
    <t>Redução do nitrato</t>
  </si>
  <si>
    <t>Hidrólise de gelatina</t>
  </si>
  <si>
    <t xml:space="preserve">Resistência ao cloranfenicol (disco) </t>
  </si>
  <si>
    <t>Norma: CAP MIC.21624 Os controles positivos e negativos devem ser usados e registrados para todos os procedimentos de teste diferencial. Os controles devem ser realizados e registrados em intervalos periódicos específicos listados para os testes.</t>
  </si>
  <si>
    <t>Indicar se os seguintes aspectos do QC para os reagentes de sorologia para Salmonella e / ou Shigella são executados</t>
  </si>
  <si>
    <t xml:space="preserve"> Se o teste de sorologia não é realizado, marque NA.</t>
  </si>
  <si>
    <t>Sérogoupage de Shigella</t>
  </si>
  <si>
    <t>Sorogrupo de Shigella</t>
  </si>
  <si>
    <t>Sérotypage de Salmonella</t>
  </si>
  <si>
    <t>Sorotipo de Salmonella</t>
  </si>
  <si>
    <t>CQ DE KITS COMERCIAIS DE IDENTIFICAÇÃO E SISTEMAS DE IDENTIFICAÇÃO AUTOMATIZADA</t>
  </si>
  <si>
    <t xml:space="preserve">Revise os registros de CQ para kits comerciais  de identificação de organismos (ex. API, Liofilchem, RapID) </t>
  </si>
  <si>
    <t>Marque NA se o laboratório não utiliza nenhum kit  comercial para identificação de organismos</t>
  </si>
  <si>
    <t xml:space="preserve">O CQ é realizado para cada novo número de lote / remessa antes que os  kits sejam colocados em uso, de acordo com as recomendações do fabricante? </t>
  </si>
  <si>
    <t>O CQ é realizado utilizando cepas ATCC ou cepas derivadas do ATCC?</t>
  </si>
  <si>
    <t>Seguindo as instruções do fabricante,  todas as cepas ATCC recomendadas são utilizadas nos kits de identificação?</t>
  </si>
  <si>
    <t xml:space="preserve">1: Todas as cepas recomendadas são utilizadas; 2: Algumas das cepas recomendadas são utilizadas; 3: Nenhuma das cepas de referência recomendadas são utilizadas; N/A </t>
  </si>
  <si>
    <t>Revisar os registros de CQ para os cartões /bandejas de identificação usadas com instrumentos de identificação automáticos (ex. Vitek, Phoenix, Microscan, etc.) Marque NA se o laboratório não usa sistemas automatizados para identificação de organismos</t>
  </si>
  <si>
    <t>O CQ é realizado em cada novo número de lote/envio de cartões  / bandejas  de identificação antes de serem colocados em uso?</t>
  </si>
  <si>
    <t>Seguindo as instruções do fabricante, todas as cepas ATCC recomendadas estão em uso para os cartões/bandejas de identificação nos instrumentos automatizados?</t>
  </si>
  <si>
    <t>7-CONTROLE DE QUALIDADE - MÉTODOS DE TSA</t>
  </si>
  <si>
    <t>SOUCHE DE REFERENCE POUR LE TSA EN ROUTINE</t>
  </si>
  <si>
    <t xml:space="preserve">CEPAS DE REFERÊNCIA PARA TSA DE ROTINA </t>
  </si>
  <si>
    <t>O laboratório possui as seguintes cepas de referência ATCC em estoque? (CIP equivalentes são também válidos)</t>
  </si>
  <si>
    <t>Enterococcus faecalis ATCC 29212 / CIP 103214 (evaluation de l'adéquation du MHA pour tester le triméthoprime-sulfonamide)</t>
  </si>
  <si>
    <t>Enterococcus faecalis ATCC 29212 / CIP 103214 (para avaliar a adequação de MH para as provas de trimetoprim-sulfonamida)</t>
  </si>
  <si>
    <t>Como se armazenam as cepas de referência?</t>
  </si>
  <si>
    <t>Cultures de référence (état lyophilisé, du fabricant) maintenues à &lt;-20 ° C</t>
  </si>
  <si>
    <t>Culturas de referência (estado liofilizado, a partir do fabricante) mantidas a &lt;-20 ° C</t>
  </si>
  <si>
    <t>Culturas de referência ou cultura de reserva em estoque (preparações em caldo de culturas de referência) mantidas a &lt;-20 ° C em um estabilizador adequado (10% -15% de glicerol em caldo de soja tríptica, soro fetal bovino a 50% em caldo, sangue de carneiro desfibrinado, ou leite desnatado)</t>
  </si>
  <si>
    <t>Culture mensuelle de la  souche de travail ou "F1", stockée à 2-8 ° C pendant 4 semaines maximum, puis éliminée</t>
  </si>
  <si>
    <t>Cultura de trabalho mensal, ou "F1", armazenado a 2-8 ° C durante até 4 semanas, em seguida, descartadas</t>
  </si>
  <si>
    <t>Culture hebdomadaire de  la souche de travail, ou «F2», conservée à une température allant de 2 à 8 ° C pendant 1 semaine maximum, puis éliminée</t>
  </si>
  <si>
    <t>Cultura de trabalho semanal, ou "F2", armazenado a 2-8 ° C durante até 1 semana, em seguida, descartadas</t>
  </si>
  <si>
    <t>Subcultura diária, ou “F3”, descartada após um dia de uso.</t>
  </si>
  <si>
    <t>Norme: SANAS TG 28-02: 7.2.2 Une culture de référence est une préparation de microorganisme obtenue à partir d'une collection de type de culture telle que ATCC. Une culture de souche de référence est une préparation de microorganisme dérivée d'une culture de référence. Une culture de souche de travail est une croissance dérivée d'une culture de souche de référence. Une sous-culture est le transfert de la croissance de micro-organismes  sur un milieu vers un milieu frais.</t>
  </si>
  <si>
    <t>Norma: SANAS TG 28-02: 7.2.2 Uma cultura de referência é uma preparação de microrganismos que é obtida a partir de uma coleção de culturas, como ATCC. Cultura de referência de reserva em estoque é uma preparação de microrganismos derivada de uma cultura de referência. Uma cultura de trabalho é de crescimento derivado de uma cultura de reserva. Uma subcultura é a transferência de microrganismos já crescidos e estabelecidos em um meio para meio novo.</t>
  </si>
  <si>
    <t xml:space="preserve">CEPAS DE REFERÊNCIA PARA TSA ESPECIAIS </t>
  </si>
  <si>
    <t>O laboratório tem as seguintes cepas de referência em estoque? (CIP equivalentes são também mostrados)</t>
  </si>
  <si>
    <t>Algumas cepas para CQ com resistência mediada por plasmídeo demonstraram perder o plasmídeo quando armazenadas a temperaturas acima de -60 ° C</t>
  </si>
  <si>
    <t>Estas cepas de referência especiais para TSA estão mantidas a &lt;-60 ° C?</t>
  </si>
  <si>
    <t xml:space="preserve">O laboratório realiza o método de disco-difusão para TSA?  </t>
  </si>
  <si>
    <t>Se não, responder NA até 7.31</t>
  </si>
  <si>
    <t>Le contrôle de qualité des disques d'antibiotiques est-il effectué avant de mettre en service les nouveaux lots / arrivage reçus? (Vérifiez les enregistrements de CQ pour confirmer)</t>
  </si>
  <si>
    <t>O CQ dos discos de antibióticos é realizado antes de utilizar novos números de lote/pedidos? (Revise os registros de QC para confirmar)</t>
  </si>
  <si>
    <t>Le CLSI et l'EUCAST exigent que tous les CQ antibiotiques soient réalisés chaque jour où sont effectués des tests sur les patients, et pas seulement lorsqu'un nouveau numéro de lot est reçu.</t>
  </si>
  <si>
    <t xml:space="preserve">CLSI e EUCAST exigem que o QC dos antibióticos seja realizado cada dia que se façam testes em amostras de paciente, não só quando um novo número de lote é recebido. </t>
  </si>
  <si>
    <t>Les laboratoires souhaitant réduire la fréquence du contrôle de la qualité des antibiotiques de quotidienne à une fois par semaine peuvent le faire après avoir démontré une performance satisfaisante du contrôle quotidien en utilisant l'un des deux plans décrits dans la section 4.7 du CLSI M02. Soit le plan sur 20-30 jours, soit le plan avec 15 répétitions.</t>
  </si>
  <si>
    <t>Laboratórios que desejem reduzir a frequência de CQ do antibiótico de diária a semanal pode fazê-lo depois de demonstrar um desempenho satisfatório com CQ diário usando um dos dois planos descritos no CLSI M02, seção 4.7. Seja o plano de 20-30 dias, ou o plano de 15 réplicas.</t>
  </si>
  <si>
    <t>Existe-t-il des documents montrant que le laboratoire a terminé avec succès le plan sur 20-30 jours ou le plan avec 15 répétitions (3 x 5 jours) pour tous les disques d'antibiotiques utilisés? (Demandez à voir)</t>
  </si>
  <si>
    <t>Existe documentação que demonstre que o laboratório concluiu com êxito o plano de 20-30 dias ou o plano de 15 réplicas (3 x 5 dias) para todos os discos de antibióticos em uso? (Pedir para verificar)</t>
  </si>
  <si>
    <t>Hormis le contrôle d'un nouveau lot, quelle est la fréquence de contrôle des disques antibiotiques? (Confirmez en examinant les rapports de CQ; remontez plusieurs mois en arrière)</t>
  </si>
  <si>
    <t>Não incluindo um novo lote de CQ, com que frequência o CQ de discos com antibióticos é realizado?  (Confirmar revendo registros de CQ; retroceder vários meses)</t>
  </si>
  <si>
    <t>1: Chaque jour où des TSA en diffusion sont réalisés pour des échantillons de patients - 2: Hebdomadaire - 3: Toutes les deux semaines - 4: Mensuel - 5: Autre (décrire dans les commentaires) - NA: la méthode en difusion n'est pas utilisée</t>
  </si>
  <si>
    <t xml:space="preserve">1: Cada dia que se realizam TSA com discos em amostras de pacientes - 2: Semanal - 3: Quinzenal - 4: Mensal - 5: Outro (descrever nos comentários) - NA: Não se utiliza método em disco </t>
  </si>
  <si>
    <t>Le contrôle qualité des disques d'antibiotiques est-il effectué en utilisant les souches de référence ATCC recommandées ci-dessous? (Vérifiez les rapports de CQ pour confirmer)</t>
  </si>
  <si>
    <t>O CQ dos discos com antibióticos é realizado utilizando as cepas de referência ATCC recomendados abaixo? (Registros de revisão de QC para confirmar)</t>
  </si>
  <si>
    <t>Pseudomonas aeruginosa ATCC 27853 // CIP 76,110</t>
  </si>
  <si>
    <t xml:space="preserve">CQ DE MÉTODOS DE TSA COM TIRAS DE GRADIENTE </t>
  </si>
  <si>
    <t>O laboratório utiliza o método de tira gradiente para TSA (Etest / Liofilchem)? (Não pontuados)</t>
  </si>
  <si>
    <t>Se não, responder NA até 7.40</t>
  </si>
  <si>
    <t>O CQ das tiras de gradiente é realizado antes de utilizar novos números de lote/pedidos? (Revise os registros de QC para confirmar)</t>
  </si>
  <si>
    <t>Existe-t-il des documents montrant que le laboratoire a terminé avec succès le plan sur 20-30 jours ou le plan avec 15 répétitions (3 x 5 jours) pour toutes les bandelettes d'antibiotiques utilisées? (Demandez à voir)</t>
  </si>
  <si>
    <t>Existe documentação que demonstre que o laboratório concluiu com êxito o plano de 20-30 dias ou o plano de 15 réplicas (3 x 5 dias) para todos as tiras de antibióticos em uso? (Pedir para verificar)</t>
  </si>
  <si>
    <t>Hormis le contrôle des nouveaux lot, à quelle fréquence le contrôle qualité des bandelette graduées est-il effectué? (Confirmez en examinant les rapports de CQ; remontez plusieurs mois en arrière)</t>
  </si>
  <si>
    <t>Não incluindo um novo lote de CQ, com que frequência o CQ de tiras de antibióticos é realizado?  (Confirmar revendo registros de CQ; retroceder vários meses)</t>
  </si>
  <si>
    <t>1: Chaque jour où des TSA par bandelette graduée sont réalisés pour des échantillons de patients - 2: Hebdomadaire - 3: Toutes les deux semaines - 4: Mensuel - 5: Autre (décrire dans les commentaires) - NA: la méthode des bandelettes graduées n'est pas utilisée</t>
  </si>
  <si>
    <t>1: Cada dia que se realizam TSA com tiras em amostras de pacientes - 2: Semanal - 3: Quinzenal - 4: Mensal - 5: Outro (descrever nos comentários) - NA: Não se utiliza método em tiras</t>
  </si>
  <si>
    <t>Le CQ des TSA par bandelettes graduées est-il effectué avec les souches de référence ATCC recommandées ci-dessous? (Vérifiez les enregistrements de CQ pour confirmer)</t>
  </si>
  <si>
    <t>O CQ de tiras com antibióticos é realizado utilizando as cepas de referência ATCC recomendados abaixo? (Registros de revisão de QC para confirmar)</t>
  </si>
  <si>
    <t>CQ DE SYSTÈMES DE TSA AUTOMATISÉS</t>
  </si>
  <si>
    <t xml:space="preserve">CQ DE SISTEMAS AUTOMATIZADOS DE TSA </t>
  </si>
  <si>
    <t>O laboratório utiliza um instrumento automatizado para TSA? (Ex, Vitek, Phoenix, Microscan, etc.)</t>
  </si>
  <si>
    <t>Si non, répondez NA jusqu'à la fin</t>
  </si>
  <si>
    <t>Se não, responder NA até o fim</t>
  </si>
  <si>
    <t>Os cartões/bandejas de antibióticos são armazenados nas temperaturas recomendadas pelo fabricante?</t>
  </si>
  <si>
    <t>Le contrôle de qualité des cartes / plaques d'antibiotiques est-il effectué avant de mettre en service de nouveaux numéros de lot / arrivage (Vérifiez les rapports de CQ pour confirmer)</t>
  </si>
  <si>
    <t>O CQ dos  cartões/bandejas de antibióticos é realizado antes de utilizar novos números de lote/pedidos? (Revise os registros de QC para confirmar)</t>
  </si>
  <si>
    <t>Existe-t-il des documents montrant que le laboratoire a terminé avec succès le plan sur 20-30 jours ou le plan avec 15 réplicats (3 x 5 jours) pour toutes les cartes / plaques d'antibiotiques utilisés? (Demandez à voir)</t>
  </si>
  <si>
    <t>Existe documentação que demonstre que o laboratório concluiu com êxito o plano de 20-30 dias ou o plano de 15 réplicas (3 x 5 dias) para todos  cartões/bandejas de antibióticos em uso? (Pedir para verificar)</t>
  </si>
  <si>
    <t>Hormis le contrôle qualité des nouveaux lots, à quelle fréquence le contrôle de la qualité des cartes / plaques d'antibiotiques est-il effectué? (Confirmez en examinant les rapports de CQ; remontez plusieurs mois en arrière)</t>
  </si>
  <si>
    <t>Não incluindo um novo lote de CQ, com que frequência o CQ  dos cartões/bandejas de antibióticos é realizado?  (Confirmar revendo registros de CQ; retroceder vários meses)</t>
  </si>
  <si>
    <t>1: Chaque jour où des TSA automatiséssont effectués pour des échantillons de patients - 2: Hebdomadaire - 3: Toutes les deux semaines - 4: Mensuel - 5: Autre (décrire dans les commentaires) - NA: Aucune méthode automatisée n'est utilisée</t>
  </si>
  <si>
    <t>1: Cada dia que se realizam TSA automatizado em amostras de pacientes - 2: Semanal - 3: Quinzenal - 4: Mensal - 5: Outro (descrever nos comentários) - NA: Não se utiliza método automatizado</t>
  </si>
  <si>
    <t>O CQ dos sistemas automatizados é realizado utilizando as cepas de referência ATCC recomendados abaixo? (Registros de revisão de QC para confirmar)</t>
  </si>
  <si>
    <t>Atenção: todas as questões referem-se apenas a amostras clínicas de pacientes, NÃO a amostras de investigação ou amostras ambientais</t>
  </si>
  <si>
    <t>A política do laboratório exige que todas as amostras estejam acompanhados por um formulário de solicitação de testes aprovado pelo laboratório?</t>
  </si>
  <si>
    <t>O laboratório possui um sistema de dupla identificação? (Ex. tanto o nome do paciente como um identificador numérico devem estar presentes no formulário e na amostra).</t>
  </si>
  <si>
    <t>As amostras sensíveis são processadas ​​dentro de uma hora após chegar ao laboratório?</t>
  </si>
  <si>
    <t>Quando o laboratório de bacteriologia está fechado, existe outro departamento no laboratório que processe (semeie na placa) as amostras ou  garanta que sejam armazenadas às temperaturas adequadas? (Selecione NA se laboratório de bacteriologia não fecha)</t>
  </si>
  <si>
    <t>O laboratório conserva as amostras corretamente antes e depois dos testes?</t>
  </si>
  <si>
    <t>Examen cyto bacteriologique des urines</t>
  </si>
  <si>
    <t>Cultura respiratória</t>
  </si>
  <si>
    <t>Culture des prélèveemnts de plaies</t>
  </si>
  <si>
    <t>Cultura de feridas</t>
  </si>
  <si>
    <t>Culture des prélèvements génitaux</t>
  </si>
  <si>
    <t>Cultura genital</t>
  </si>
  <si>
    <t>Cultura de líquido cefalorradiano</t>
  </si>
  <si>
    <t>Culture de llquides biologiques stériles (pleurale, péricardique, péritonéale, synoviale)</t>
  </si>
  <si>
    <t>Cultura de líquidos corporais estéreis (pleural, pericárdico, peritoneal, sinovial)</t>
  </si>
  <si>
    <t>Norma: ISO 15189: 5.4.1, 5.4.5, 5.4.7, 5.4.8, 5.4.10, 5.4.11, 5.4.13 Norma: ISO 15189: 5.2.9, 5.4.14, 5.7.3 As amostras devem ser armazenadas sob as condições adequadas para manter a estabilidade da amostra. As amostras que já não sejam necessárias devem ser eliminadas de uma maneira segura, de acordo com os regulamentos de segurança biológica</t>
  </si>
  <si>
    <t>Les critères de rejet sont-ils écrits dans une POS ou un aide-mémoire pour chaque type déchantillon?</t>
  </si>
  <si>
    <t>Os critérios de rejeição estão escritos em um POP ou em uma instrução de trabalho para cada tipo de amostra?</t>
  </si>
  <si>
    <t>As amostras não identificadas são  rejeitadas?</t>
  </si>
  <si>
    <t>As amostras identificadas erroneamente são  rejeitadas?</t>
  </si>
  <si>
    <t>As amostras derramadas são  rejeitadas?</t>
  </si>
  <si>
    <t>As amostras são  rejeitadas se não são transportadas dentro dos limites de tempo estabelecidos?</t>
  </si>
  <si>
    <t>As amostras são rejeitadas se há evidências de que não foram mantidas em condições adequadas durante e antes do transporte?</t>
  </si>
  <si>
    <t>Existe-t-il des preuves que les critères de rejet des échantillons sont appliqués (journal de rejet des échantillons)?</t>
  </si>
  <si>
    <t>Existe evidência de que os critérios de rejeição de amostra são aplicados (revisar o registro de  rejeição)?</t>
  </si>
  <si>
    <t>Le laboratoire maintient-il des indicateurs de qualité concernant le nombre d'échantillons rejetés?</t>
  </si>
  <si>
    <t>O laboratório mantém de indicadores de qualidade em relação ao número de amostras rejeitadas?</t>
  </si>
  <si>
    <t>Quando as amostras são rejeitadas, o laboratório notifica a enfermaria ou clínica imediatamente para que uma nova amostra possa  ser coletada?</t>
  </si>
  <si>
    <t>Le laboratoire fournit-il des instructions / procédures de prélèvement d'échantillons de sang aux services prélevant des échantillons de patients?</t>
  </si>
  <si>
    <t>O laboratório fornece instruções/ POPs para a coleta de hemocultura  para as áreas de coleta de amostras do paciente?</t>
  </si>
  <si>
    <t>O laboratório (ou outro departamento) fornece treinamento anual ao pessoal clínico sobre a coleta de amostras para hemoculturas?</t>
  </si>
  <si>
    <t>Coletar antes da administração de antibióticos ao paciente</t>
  </si>
  <si>
    <t>Asepsie de la peau et technique de collecte aseptique</t>
  </si>
  <si>
    <t>Preparação da pele com antisséptico e técnica de coleta asséptica</t>
  </si>
  <si>
    <t>Préparation d'un bouchon antiseptique et inoculation aseptique des flacons</t>
  </si>
  <si>
    <t>Preparação da tampa com antisséptico e inoculação asséptica de frascos</t>
  </si>
  <si>
    <t>Volume minimum pour les adultes (généralement 10-15 ml par flacon)</t>
  </si>
  <si>
    <t>Volume mínimo para adultos (geralmente, 10-15 ml por frasco)</t>
  </si>
  <si>
    <t>Volume minimum pour les enfants (généralement 5-10 ml par flacon)</t>
  </si>
  <si>
    <t>Volume mínimo para crianças (geralmente, 5-10 ml por frasco)</t>
  </si>
  <si>
    <t>Volume minimum pour les nouveau-nés (généralement 0,5 à 1 ml par flacon)</t>
  </si>
  <si>
    <t>Volume mínimo para recém-nascidos (geralmente 0.5-1mL por frasco)</t>
  </si>
  <si>
    <t>La politique des laboratoires exige-t-elle que deux paires d'hémocultures soient prélevées?</t>
  </si>
  <si>
    <t xml:space="preserve">A política do laboratório exige que se coletem dois frascos para hemocultura? </t>
  </si>
  <si>
    <t>A política especifica que cada hemocultura deva ser obtida a partir de um local  diferente de punção venosa?</t>
  </si>
  <si>
    <t>Etiquetage correct du flacon (nom du patient, identifiant, date, heure, site de ponction veineuse)</t>
  </si>
  <si>
    <t>Rótulo adequado nos frascos (nome do paciente, ID, Data, Hora, Local da punção venosa)</t>
  </si>
  <si>
    <t>Transporter les flacons au laboratoire dans l'heure qui suit leur collecte</t>
  </si>
  <si>
    <t>Transporte dos frascos de hemocultura para o laboratório dentro do prazo de  1 hora após a coleta</t>
  </si>
  <si>
    <t>Si le transport est retardé, stockez les flacons pour les systèmes automatisés à la température ambiante; conserver les flacons pour les systèmes manuels à 37 ° C.</t>
  </si>
  <si>
    <t>Se houver atraso no transporte, armazenar os frascos para sistemas automatizados, à temperatura ambiente; armazenar os frascos para os sistemas manuais, a 37 ° C.</t>
  </si>
  <si>
    <t>COLETA E TRANSPORTE DE AMOSTRAS DE URINA</t>
  </si>
  <si>
    <t>Le laboratoire fournit-il des instructions / procédures de prélèvement d'échantillons d'urine aux services prélèvant/recueillant des échantillons de patient?</t>
  </si>
  <si>
    <t>O laboratório fornece instruções/ POPs para a coleta de amostras para urocultura para as áreas de coleta de amostras dos pacientes?</t>
  </si>
  <si>
    <t>Le laboratoire (ou un autre service) offre-t-il un maintien annuel des compétences aux préleveurs pour la collecte d'échantillons d'urine?</t>
  </si>
  <si>
    <t>O laboratório (ou outro departamento) oferece cursos de reciclagem anual ao pessoal clínico sobre a coleta de amostras para uroculturas?</t>
  </si>
  <si>
    <t>Passez en revue les instructions de collecte des échantillons d’urine. Comprennent-elles les éléments suivants?</t>
  </si>
  <si>
    <t>Revise  as instruções de coleta de amostras para uroculturas. Abordam os seguintes itens?</t>
  </si>
  <si>
    <t>Instructions pour la désinfection locale des femmes, hommes et nourrissons</t>
  </si>
  <si>
    <t>Instruções de limpeza antissépticas para mulheres, homens e crianças</t>
  </si>
  <si>
    <t>Instruction pour la réalisation du prélèvement à mi-jet</t>
  </si>
  <si>
    <t>Instruções para coleta do jato-médio ou instruções de "coleta" limpa</t>
  </si>
  <si>
    <t>Utilisation de contenants stériles uniquement</t>
  </si>
  <si>
    <t>Utilizar somente recipientes estéreis</t>
  </si>
  <si>
    <t>Volume mínimo (geralmente 3 mL)</t>
  </si>
  <si>
    <t>Instructions pour un étiquetage approprié</t>
  </si>
  <si>
    <t>Instruções de identificação apropriadas</t>
  </si>
  <si>
    <t>Transport au laboratoire à température ambiante dans les 2 heures suivant le prélèvement</t>
  </si>
  <si>
    <t>Transporte para o laboratório à temperatura ambiente no prazo máximo de 2 horas após a coleta da amostra</t>
  </si>
  <si>
    <t>Se houver atraso no transporte, armazenar refrigerado por até 24 horas</t>
  </si>
  <si>
    <t>COLETA E TRANSPORTE DAS AMOSTRAS DE FEZES</t>
  </si>
  <si>
    <t>Le laboratoire fournit-il des instructions / procédures de prélèvement d'échantillons  de selles aux  lieux de collecte des échantillons de patients?</t>
  </si>
  <si>
    <t>O laboratório fornece instruções/ POPs para a coleta de amostras para Coproculturas para as áreas onde as amostras dos pacientes são coletadas?</t>
  </si>
  <si>
    <t>Le laboratoire (ou un autre service) offre-t-il un maintien annuel des compétences au personnel préleveur pour la collecte d'échantillons de selles?</t>
  </si>
  <si>
    <t>O laboratório (ou outro departamento) oferece cursos de reciclagem anual ao pessoal clínico sobre a coleta da amostras para Coproculturas?</t>
  </si>
  <si>
    <t>Passez en revue les instructions de collecte des échantillons de selles. Comprennent-elles les éléments suivants?</t>
  </si>
  <si>
    <t>Revise  as instruções de coleta de amostras para Coproculturas. Abordam os seguintes itens?</t>
  </si>
  <si>
    <t xml:space="preserve">Technique de collecte </t>
  </si>
  <si>
    <t>Técnica de coleta</t>
  </si>
  <si>
    <t>Contenants valides</t>
  </si>
  <si>
    <t>Utilizar somente recipientes aprovados</t>
  </si>
  <si>
    <t>Identificação adequada</t>
  </si>
  <si>
    <t>Transporte para o laboratório à temperatura ambiente, dentro de 2 horas</t>
  </si>
  <si>
    <t>Se houver atraso no transporte, armazenar a amostra  em um meio de transporte aprovado (como Cary Blair) durante até 24 horas</t>
  </si>
  <si>
    <t>Si le transport est retardé, ne pas réfrigérer les selles, car certains agents pathogènes, notamment Shigella spp, sont détruits à basse température.</t>
  </si>
  <si>
    <t>Se houver atraso no transporte, não refrigerar as fezes, uma vez que alguns agentes patogênicos, especialmente Shigella spp, morrerão a baixas temperaturas</t>
  </si>
  <si>
    <t>Remarque: toutes les questions concernent uniquement les échantillons cliniques, PAS les échantillons de recherche ou environnementaux.</t>
  </si>
  <si>
    <t>Le laboratoire dispose-t-il d’une POS décrivant comment prendre un charge un prélèvement pour réalisation d'une hémoculture?</t>
  </si>
  <si>
    <t>O laboratório tem um POP descrevendo como processar sangue para cultura bacteriana?</t>
  </si>
  <si>
    <t>Lorsqu'un flacon d'hémoculture présente des signes de positivité (turbidité, hémolyse ou production de gaz), le laboratoire effectue-t-il une coloration de Gram sur le contenu du flacon ?</t>
  </si>
  <si>
    <t>Quando um frasco de hemocultura mostra sinais de positividade, (turbidez, hemólise, ou produção de gás), o laboratório realiza uma coloração de Gram do caldo do frasco?</t>
  </si>
  <si>
    <t>Si la coloration de Gram du flacon est positive, le laboratoire communique-t-il le résultat imédiatement au médecin?</t>
  </si>
  <si>
    <t>Se a coloração de Gram do frasco é positiva, laboratório informa o resultado para o médico imediatamente?</t>
  </si>
  <si>
    <t>Quand un bouillon d'hémoculture positif est subcultivé, gélose chocolat est-elle incluse pour assurer la mise en évidence d'organismes de culture difficile?</t>
  </si>
  <si>
    <t xml:space="preserve">Quando é feita uma subcultura do caldo de uma hemocultura positiva, uma placa de chocolate é incluída para garantir a recuperação de organismos fastidiosos? </t>
  </si>
  <si>
    <t>Le laboratoire ensemence-t-il plus d'un échantillon de patient sur la même boîte de Pétri?</t>
  </si>
  <si>
    <t>O laboratório inocula mais do que uma amostra de paciente na mesma placa de Petri?</t>
  </si>
  <si>
    <t>La POS pour les hémocultures définit-elle correctement les organismes qui sont généralement considérés comme des contaminants?</t>
  </si>
  <si>
    <t xml:space="preserve">O POP para hemoculturas define adequadamente quais os organismos são comumente considerados contaminantes? </t>
  </si>
  <si>
    <t>Par exemple: Corynebacterium spp., Propionibacterium spp., Micrococcus spp.,  Streptocoque viridans, Bacillus spp, Staph coagulase négative isolé à partir d'une seule culture</t>
  </si>
  <si>
    <t>Ex., Corynebacterium spp., Propionibacterium spp., Micrococcus spp., Viridans Strep spp., Bacillus spp., E Staph spp coagulase-negativa  isolado a partir de uma única cultura</t>
  </si>
  <si>
    <t>Le laboratoire effectue-t-il des TSA sur des organismes potentiellement contaminants?</t>
  </si>
  <si>
    <t>O laboratório executa TSA em organismos que são possíveis contaminantes?</t>
  </si>
  <si>
    <t>Quais os sistemas de incubação de hemocultura utilizados pelo laboratório?</t>
  </si>
  <si>
    <t>1: Somente automatizado; 2: Somente sistema manual; 3: Sistemas automatizados e manuais</t>
  </si>
  <si>
    <t>SYSTÈMES MANUELS D'HEMOCULTURES</t>
  </si>
  <si>
    <t>Passez en revue les POS pour l'incubation manuelle des flacons d'hémoculture. Inclut-il chacune des instructions suivantes? (Si seuls des systèmes automatisés sont utilisés, répondez NA)</t>
  </si>
  <si>
    <t>Revisar o POP para incubação manual dos frascos hemocultura. O POP Inclui cada uma das seguintes instruções? (Se forem utilizados somentes sistemas automatizados, responder NA)</t>
  </si>
  <si>
    <t>A cada dia de incubação, examinar visualmente todos os frascos para sinais de positividade (turbidez, hemólise, produção de gás)</t>
  </si>
  <si>
    <t>Après 24 heures d'incubation, subcultivez toutes les flacons négatifs</t>
  </si>
  <si>
    <t xml:space="preserve">Após 24 horas de incubação,  realizar a subcultura de todas as garrafas que aparentem ser negativo </t>
  </si>
  <si>
    <t>Après 48 heures d'incubation, repiquage de tous les flacons qui apparaissent à nouveau négatifs (si le premier repiquage était négatif)</t>
  </si>
  <si>
    <t>Após 48 horas de incubação, realizar novamente uma subcultura de todos os frascos que  aparentem ser negativos (se a primeira a subcultura for negativa)</t>
  </si>
  <si>
    <t>Repiquez les flacons négatifs sur une gélose chocolat (incubées dans 5% de CO2) pour assurer la récupération d'organismes fastidieux</t>
  </si>
  <si>
    <t>Realizar uma subcultura dos frascos que aparentem ser negativos em uma placa de ágar chocolate (incubadas em 5% de CO2) para assegurar a recuperação de organismos fastidiosos</t>
  </si>
  <si>
    <t>Incuber toutes les flacons entre 5 et 7 jours avant de conclure à leur négativité sur le compte rendu d'examen.</t>
  </si>
  <si>
    <t>Incubar todos os frascos entre 5 e 7 dias antes de emitir um relatório final negativo</t>
  </si>
  <si>
    <t>Le dernier jour d'incubation, effectuez un dernier repiquage avant la diffusion du compte rendu définitif rapportant l'hémoculture comme négative.</t>
  </si>
  <si>
    <t xml:space="preserve">No último dia de incubação, realizar uma subcultura terminal antes emitir o  relatório final negativo </t>
  </si>
  <si>
    <t>O laboratório tem um POP para como processar a urina para a cultura bacteriana? (Solicitar ver)</t>
  </si>
  <si>
    <t>Selon la POS, quels sont les milieux utilisés pour la culture primaire d'urine?</t>
  </si>
  <si>
    <t>1. Gélose au sang et gélose selective pour les Gram négatifs (par exemple MacConkey, EMB, CLED)</t>
  </si>
  <si>
    <t>1. Tanto o ágar de sangue como um ágar seletivo para Gram-negativos (ex, MacConkey, EMB, CLED)</t>
  </si>
  <si>
    <t>2. Gélose chromogéne conçu pour les échantillons d'urine</t>
  </si>
  <si>
    <t>2. Agar cromogênico específico para amostras de urina</t>
  </si>
  <si>
    <t>3. Gélose au sang uniquement</t>
  </si>
  <si>
    <t>3. Somente Agar Sangue</t>
  </si>
  <si>
    <t>4. Outro, descrever</t>
  </si>
  <si>
    <t>Norma: CAP MIC.22210; SANAS TR 34-04: 3.2.1.2 Meios e procedimentos devem ser utilizados para garantir o isolamento e identificação de uropatógenos comuns, tais como Enterobacteriaceae, Enterococcus sp, e Staphylococcus sp..</t>
  </si>
  <si>
    <t xml:space="preserve">São realizadas culturas quantitativas (contagem de colônias)? </t>
  </si>
  <si>
    <t>Les urines sont-elles ensemensées en utilisant une oese calibrée?</t>
  </si>
  <si>
    <t>As urinas são semeadas usando uma alça calibrada?</t>
  </si>
  <si>
    <t xml:space="preserve">1: Oui, 1µL - 2: Oui, 10uL - 3: Non, les urines ne sont pas ensemencées à l'aide d' oeses calibrées </t>
  </si>
  <si>
    <t>1: Sim, 1µL - 2: Sim, 10µL - 3: Não, não se usam alças calibradas para semear urinas em placas</t>
  </si>
  <si>
    <t>O laboratório semeia mais de uma amostra de paciente na mesma placa de Petri?</t>
  </si>
  <si>
    <t>La POS relative à la culture d'urine donne-t-elle des indications au technicien pour déterminer les organismes à traiter (identification et TSA) en fonction des quantités relatives, du pouvoir pathogène et de la méthode de prélèvement des échantillons?</t>
  </si>
  <si>
    <t xml:space="preserve">O POP de uroculturas proporciona orientação para o técnico determinar quais os organismos deve-se “trabalhar” (ID e TSA) com base nas quantidades relativas, patogenicidade e método de coleta de amostra? </t>
  </si>
  <si>
    <t xml:space="preserve">Os técnicos foram adequadamente treinados para reconhecer uma amostra de urina mal coletada (predominância de flora fecal ou da pele) com base nas quantidades relativas, tipos, e mistura dos organismos presentes? </t>
  </si>
  <si>
    <t>Le laboratoire a-t-il une POS décrivant l'ensemencement de selles pour la coproculture bactérienne? (demandez à voir)</t>
  </si>
  <si>
    <t>O laboratório tem um POP para como processar fezes (placa) para a cultura bacteriana? (Solicitar ver)</t>
  </si>
  <si>
    <t>O POP descreve como identificar potenciais agentes patogênicos em todos os meios primários?</t>
  </si>
  <si>
    <t>O POP deve descrever a aparência de colônias dos potenciais agentes patogénicos no MAC e outros meios seletivos e diferenciais utilizados, e deve definir como proceder quando um agente patogênico potencial é encontrado</t>
  </si>
  <si>
    <t>Quels sont les milieux de départ utilisés pour la culture des selles?</t>
  </si>
  <si>
    <t>Que meios são utilizados para a cultura primária de fezes?</t>
  </si>
  <si>
    <t>Ágar sangue</t>
  </si>
  <si>
    <t>Ágar MacConkey ou Eosina Azul de Metileno (EMB)</t>
  </si>
  <si>
    <t>Ágar seletivo e diferencial de rastreio para Salmonella e Shigella (ex., ágar Salmonella / Shigella, ágar entérico de Hektoen , Agar Xilose Lisina Desoxicolato , ou Agar Desoxicolato Citrato)</t>
  </si>
  <si>
    <t>Caldo de enriquecimento seletivo (Ex. Selenito, GN, etc.)</t>
  </si>
  <si>
    <t>Outro (descrever nos comentários, não se pontua)</t>
  </si>
  <si>
    <t>Les agents pathogènes suivants sont-ils systématiquement recherchés dans chaque culture de selles?</t>
  </si>
  <si>
    <t>Quais dos seguintes patógenos são alvo rotineiros nas Coproculturas recebidas?</t>
  </si>
  <si>
    <t>10- MÉTHODES D'IDENTIFICATION ET PROCÉDURES OPÉRATIONNELLESSTANDARDISEES</t>
  </si>
  <si>
    <t>10- PROCEDIMENTOS OPERACIONAIS PADRÕES E MÉTODOS DE IDENTIFICAÇÃO</t>
  </si>
  <si>
    <t>Atenção: todas as perguntas se referem isolados clínicos de pacientes, NÃO a isolados de investigação ou ambientais</t>
  </si>
  <si>
    <t>MÉTHODES D'IDENTIFICATION CONVENTIONNELLES - RÉSUMÉ DES SCORES POUR LES POS</t>
  </si>
  <si>
    <t>MÉTODOS DE IDENTIFICAÇÃO CONVENCIONAIS -  RESUMO DE PONTUAÇÃO DO POP</t>
  </si>
  <si>
    <t>Responda às perguntas abaixo para cada método manual/ bioquímico em uso no laboratório.</t>
  </si>
  <si>
    <t>* "Entièrement mis en œuvre" signifie que la POs a été approuvée et signée par un superviseur de laboratoire ou son représentant, et que le personnel du laboratoire a été formé sur le contenu et utilise la POs. une POs complète mais qui n'a pas été approuvée ou qui n'est pas utilisée couramment n'est pas considérée comme pleinement appliquée.</t>
  </si>
  <si>
    <t>* "Completamente implementado" significa que a POP foi aprovado e assinado por um supervisor do laboratório ou pessoa designada, e que o pessoal de laboratório foi treinado sobre o conteúdo e utilização do POP. Um POP que está completo, mas não foi aprovado ou não está em uso rotineiro não é considerado completamente implementado.</t>
  </si>
  <si>
    <t>** "Facilement disponible" signifie que les techniciens peuvent accéder facilement à la POS à la paillasse ou à proximité, sous forme électronique ou papier, et que les informations recherchées se trouvent facilement dans la POS, sans être noyée au dans un document trop vaste, et sont écrites une langue que ceux qui utilisent la POS peuvent lire couramment.</t>
  </si>
  <si>
    <t xml:space="preserve">** "Facilmente disponível" significa que os técnicos podem facilmente ter aceso ao POP  na/ou perto da bancada, quer em formato eletrônico ou em papel, e que a informação procurada é facilmente localizada dentro do POP, não está diluída em um documento maior, e está escrito em uma linguagem que aqueles que utilizam o POP podem ler fluentemente. </t>
  </si>
  <si>
    <t xml:space="preserve">STAPHYLOCOCCUS AUREUS, MÉTHODES CLES D'IDENTIFICATION </t>
  </si>
  <si>
    <t>Este reagente está em uso em seu laboratório? (Se não, selecionar N/A para as perguntas restantes sobre este reagente)</t>
  </si>
  <si>
    <t>une POS à jour a-t-elle été entièrement mise en oeuvre? * (Si le réactif est utilisé mais qu'il n'y a pas de POS, répondez "non" à toutes les questions restantes concernant ce réactif)</t>
  </si>
  <si>
    <t>Existe um POP atualizado totalmente implementado? * (Se o reagente está em uso, mas não há POP, responder "não" a todas as perguntas restantes sobre este reagente)</t>
  </si>
  <si>
    <t>La POS est-elle facilement disponible ** pour le personnel à la paillasse?</t>
  </si>
  <si>
    <t>O POP está facilmente disponível ** ao pessoal de bancada do laboratório?</t>
  </si>
  <si>
    <t>La POS définit-elle les organismes de contrôle de la qualité, la fréquence de contrôle et les résultats de contrôle attendus?</t>
  </si>
  <si>
    <t>O POP define os organismos de CQ, a frequência de CQ, e os resultados esperados do CQ?</t>
  </si>
  <si>
    <t>O POP fornece instruções passo a passo de como realizar o teste corretamente?</t>
  </si>
  <si>
    <t>La POS fournit-elle des instructions étape par étape pour interpréter correctement le résultat de l'analyse?</t>
  </si>
  <si>
    <t>O POP fornece instruções passo a passo de como interpretar o resultado do teste corretamente?</t>
  </si>
  <si>
    <t>A prova da catalase é  realizada antes da prova da coagulase nos isolados suspeitos de estafilococos?</t>
  </si>
  <si>
    <t>1: Sempre - 2: Às vezes - 3: Nunca</t>
  </si>
  <si>
    <t>la POS fournit-elle des instructions détaillées pour l'inoculation et l'incubation?</t>
  </si>
  <si>
    <t>O POP fornece instruções passo a passo sobre como realizar a inoculação e incubação?</t>
  </si>
  <si>
    <t>la POS fournit-elle des instructions étapes par étape pour la lecture et l’interprétation?</t>
  </si>
  <si>
    <t>O POP fornece instruções passo a passo sobre como realizar a leitura e a interpretação?</t>
  </si>
  <si>
    <t>Qual é a origem do plasma utilizado para testes de coagulase?</t>
  </si>
  <si>
    <t xml:space="preserve">1: Plasma de Coelho Comercialmente Adquirido - 2: Coelho Sangrado Localmente - 3:Plasma humano - 4: Outra fonte (por favor descreva nos comentários) </t>
  </si>
  <si>
    <t>Les résultats de  coagulase sur lame sont-ils confirmés par un test de la coagulase sur tube avant d'être signalés?</t>
  </si>
  <si>
    <t>Os resultados negativos de coagulase em lâmina são confirmados com um teste de coagulase em tubo antes de serem relatados?</t>
  </si>
  <si>
    <t>1: Sempre 2: Às vezes 3: Nunca; NA, o laboratório não realiza  testes de coagulase em lâmina</t>
  </si>
  <si>
    <t>Agglutinationdu staphylocoque sur latex</t>
  </si>
  <si>
    <t>Les cartes jetables utilisées pour la réaction sont-elles jetées après utilisation (non réutilisées)?</t>
  </si>
  <si>
    <t>Os cartões descartáveis ​​para reação são descartados após o uso (e não reutilizados)?</t>
  </si>
  <si>
    <t>1: Toujours - 2: Parfois - 3: Non - NA, le laboratoire n'utilise pas d'agglutination sur latex pour identifier les staphylocoques</t>
  </si>
  <si>
    <t>1: Sempre - 2: Às vezes - 3: Não - NA, o laboratório não utiliza aglutinação em látex para identificar estafilococos</t>
  </si>
  <si>
    <t>Gélose chromogène staphylocoque</t>
  </si>
  <si>
    <t>Meio CHROMagar para a identificação de estafilococos</t>
  </si>
  <si>
    <t>STREPTOCOCCUS PNEUMONIAE, MÉTODOS DE IDENTIFICAÇÃO CONVENCIONAIS</t>
  </si>
  <si>
    <t xml:space="preserve">Disco de Optoquina ( “P”) </t>
  </si>
  <si>
    <t>Si le résultat d l'Optochine est équivoque (9-13 mm), une solubilité dans la bile ou d'autres tests supplémentaires sont-ils effectués pour confirmer l'identification?</t>
  </si>
  <si>
    <t>Se o resultado Optoquina é duvidoso (9-13mm), a solubilidade em bile ou outro teste adicional é realizado para confirmar a identificação?</t>
  </si>
  <si>
    <t>Agglutination sur latex du pneumocoque</t>
  </si>
  <si>
    <t>ENTEROBACTERIACEAE, MÉTODOS DE ID CONVENCIONAIS</t>
  </si>
  <si>
    <t>Rouge méthyle</t>
  </si>
  <si>
    <t>Gélose Triple Sucre-Fer (TSI) ou gélose au fer de Kligler (KIA)</t>
  </si>
  <si>
    <t>Agar Tríplice Açúcar Ferro (TSI) ou Agar Ferro de KLIGLER (KIA)</t>
  </si>
  <si>
    <t>SOROLOGIA PARA SHIGELLA / SOROLOGIA</t>
  </si>
  <si>
    <t>Sorologia Shigella</t>
  </si>
  <si>
    <t>Sorologia Salmonella</t>
  </si>
  <si>
    <t>ACINETOBACTER SPP, MÉTODOS DE ID CONVENCIONAIS</t>
  </si>
  <si>
    <t xml:space="preserve">Prova de oxidação-fermentação (OF) da Glicose </t>
  </si>
  <si>
    <t>Redução de nitrato</t>
  </si>
  <si>
    <t>MÉTODOS DE ID BASEADOS EM KITS</t>
  </si>
  <si>
    <t> Si le laboratoire utilise des trousses biochimiques rapides pour l'identification des organismes (par exemple, API, Liofilchem, RapID), la POS de chaque trousse contient-elle les informations suivantes? (Si les trousses ne sont pas utilisées, sélectionnez "NA", si les trousses sont utilisées mais qu'il n'y a pas de POS, sélectionnez "Non")</t>
  </si>
  <si>
    <t>Se o laboratório utiliza kits bioquímicos rápidos para a identificação do organismo (Ex., API, Liofilchem, RapID), o POP para cada kit contém a informação seguinte? (Se kits não são usados, selecione "NA", se forem utilizados mas não há POP, selecione "Não")</t>
  </si>
  <si>
    <t>Organismes utlilsés pour le contrôle de la qualité, fréquence de contrôle et résultats de contrôle attendus</t>
  </si>
  <si>
    <t>Organismos definidos para CQ, frequência de CQ, e os resultados esperados do CQ</t>
  </si>
  <si>
    <t>Instructions étape par étape pour préparer l'inoculum dans le bon milieu liquide et à la bonne densité</t>
  </si>
  <si>
    <t>Instruções passo a passo para a preparação do inoculo no meio líquido correto e na densidade correta</t>
  </si>
  <si>
    <t>Instructions étape par étape sur la façon d'inoculer et d'incuber le dispositif</t>
  </si>
  <si>
    <t>Instruções passo a passo sobre como inocular e incubar o dispositivo</t>
  </si>
  <si>
    <t>Instructions étape par étape sur la façon de lire les résultats, y compris l'utilisation de réactifs supplémentaires si nécessaire</t>
  </si>
  <si>
    <t>Instruções passo a passo sobre como ler os resultados, incluindo o uso de reagentes adicionais se necessário</t>
  </si>
  <si>
    <t>Des directives claires sur l'interprétation des résultats et la reconnaissance des résultats non conformes</t>
  </si>
  <si>
    <t>Instruções claras sobre como interpretar os resultados e reconhecer resultados inaceitáveis</t>
  </si>
  <si>
    <t>Les POS sont-elles disponibles dans une langue que les techniciens sont capables de lire couramment?</t>
  </si>
  <si>
    <t>Os POPs estão disponíveis em uma linguagem que os técnicos são capazes de ler fluentemente?</t>
  </si>
  <si>
    <t xml:space="preserve">O laboratório utiliza os meios de inoculação recomendados pelo fabricante? </t>
  </si>
  <si>
    <t>Après l'inoculation du dispositif, le laboratoire utilise-t-il l'inoculum restant pour ensemenser une boîte de pureté? (Une boîte de pureté est un repiquager de l'inoculum qui est conçu pour garantir que l'inoculum ne soit ni mélangé ni contaminé; généralement ensemencé comme les échantillons d'urine pour permettre la visualisation des colonies individuaalisées et dont la pureté est contrôlée lors de la lecture des résultats)</t>
  </si>
  <si>
    <t>Após a inoculação do dispositivo, o laboratório utiliza o inóculo restante para fazer uma placa de pureza? (Uma placa de pureza é uma subcultura do inoculo que é feito para assegurar o mesmo  não estava misturado ou contaminado, geralmente se semeia como urina para garantir a visualização de colônias individuais e  verificar a sua pureza ao ler os resultados)</t>
  </si>
  <si>
    <t>Após a incubação, todos os reagentes suplementares estão disponíveis e são adicionados de acordo com as instruções do fabricante? (ex. VP1 e 2 para API)</t>
  </si>
  <si>
    <t>As bases  de dados utilizadas ​​para interpretar os resultados do kit (bionumbers) estão atualizadas?</t>
  </si>
  <si>
    <t>Quando um resultado de ID (bionumber) não atinge o limiar para uma identificação aceitável, há evidência de que são tomadas medidas adequadas, tal como a repetição do teste por outro método, ou a realização de testes bioquímicos adicionais?</t>
  </si>
  <si>
    <t>MÉTHODES D'IDENTIFICATION AUTOMATISÉEs</t>
  </si>
  <si>
    <t>Si le laboratoire utilise des méthodes automatisées d'identification des organismes (Vitek, Microscan, Phoenix, par exemple), les POS contiennent-elles les informations suivantes? (Les manuels d'utilisation fournis par le fabricant ne sont pas considérés comme des POS)</t>
  </si>
  <si>
    <t>Se o laboratório utiliza métodos automatizados para a identificação de organismos (Ex. Vitek, Microscan, Phoenix), os POPs contem as seguintes informações? (Os Manuais do usuário fornecidos pelo fabricante não são considerados POPs)</t>
  </si>
  <si>
    <t>Organismes utilisés pour le contrôle de la qualité, fréquence de contrôle et résultats de contrôle attendus</t>
  </si>
  <si>
    <t>1: Sim - 2: Parcial - 3: Não - NA: laboratório não utiliza métodos automatizados</t>
  </si>
  <si>
    <t>Os POPs estão disponíveis em uma linguagem que os técnicos que usam o instrumento são capaz de ler fluentemente?</t>
  </si>
  <si>
    <t>O laboratório utiliza os meios de inoculação recomendados pelo fabricante?</t>
  </si>
  <si>
    <t>Après l’inoculation de la carte / plaque, le laboratoire utilise-t-il l’inoculum restant pour préparer une boite de pureté?</t>
  </si>
  <si>
    <t>Após a inoculação do cartão/bandeja, o laboratório utiliza o inóculo restante para fazer uma placa de pureza?</t>
  </si>
  <si>
    <t>Une boîte de pureté est un repiquager de l'inoculum qui est conçu pour garantir que l'inoculum ne soit ni mélangé ni contaminé; généralement ensemencé comme les échantillons d'urine pour permettre la visualisation des colonies individuaalisées et dont la pureté est contrôlée lors de la lecture des résultats. Une GS est généralement utilisée.</t>
  </si>
  <si>
    <t xml:space="preserve"> Uma placa de pureza é uma subcultura do inóculo que é feito para assegurar o mesmo  não estava misturado ou contaminado, geralmente se semeia como urina para garantir a visualização de colônias individuais e  verificar a sua pureza ao ler os resultados. Geralmente se usa BAP</t>
  </si>
  <si>
    <t>Lorsque le logiciel de l'automate signale un résultat d'identification comme étant discutable, existe-t-il des preuves que des mesures appropriées sont prises, telles que la répétition du test par une autre méthode ou la réalisation de tests biochimiques supplémentaires?</t>
  </si>
  <si>
    <t>Quando o software do instrumento  marca um resultado de ID como duvidoso, há evidência de que são tomadas medidas adequadas, tal como a repetição do teste por outro método, ou a realização de testes bioquímicos adicionais?</t>
  </si>
  <si>
    <t xml:space="preserve">FLUXOGRAMAS DE IDENTIFICAÇÃO </t>
  </si>
  <si>
    <t>Lorsque la boite de départ contient plusieurs types de colonies, est-il habituel de subcultiver chaque colonie présentant un intérêtsur une nouvelle gélose afin de garantir sa pureté avant de poursuivre l'identification?</t>
  </si>
  <si>
    <t xml:space="preserve">Quando a placa primária apresenta culturas mistas, é uma prática comum realizar a subcultura de cada colônia de interesse para uma placa fresca para assegurar a pureza antes de prosseguir com a  identificação? </t>
  </si>
  <si>
    <t>É prática comum fazer a coloração de Gram de cada isolado de interesse antes de se realizar quaisquer outros testes?</t>
  </si>
  <si>
    <t>En ce qui concerne les bacilles à Gram négatif, est-il habituel d'effectuer un test à l'oxydase avant de procéder à tout autre test d'identification (y compris l'identification par un automate)?</t>
  </si>
  <si>
    <t>Para os bacilos Gram negativos, é prática comum realizar primeiro um teste de oxidase, antes de prosseguir com quaisquer outros testes de identificação (incluindo ID automatizada)?</t>
  </si>
  <si>
    <t>Pour les bacilles à Gram négatif, est-il habituel d'effectuer un test à l'indole en deuxième intention avant de procéder à d'autres tests d'identification (y compris l'identification par un automate)?</t>
  </si>
  <si>
    <t>Para os bacilos Gram negativos, é prática comum realizar em segundo lugar um teste de indol, antes de prosseguir com quaisquer outros testes de identificação (incluindo ID automatizada)?</t>
  </si>
  <si>
    <t>Pour les bacilles gram-négatifs oxydase-négatifs non-fermentant (clair sur MacConkey), existe-t-il suffisamment de tests pour obtenir une identification définitive?</t>
  </si>
  <si>
    <t>Para os bacilos Gram negativos oxidase-negativa que não fermentam lactose (placa de MacConkey clara), existem testes  suficientes disponíveis para conseguir uma identificação definitiva?</t>
  </si>
  <si>
    <t>Complètement mis en œuvre *, une POS à jour est en place</t>
  </si>
  <si>
    <t xml:space="preserve">Totalmente implementado *, POP atualizado e vigente </t>
  </si>
  <si>
    <t>O POP está facilmente disponível ** ao pessoal que trabalha na bancada</t>
  </si>
  <si>
    <t>la POS définit les organismes utilisés pour le contrôle de la qualité, la fréquence et les résultats attendus</t>
  </si>
  <si>
    <t>O POP define os organismos de CQ, frequência de CQ e resultados esperados do CQ</t>
  </si>
  <si>
    <t>la POS fournit des instructions étape par étape pour la réalisation du test</t>
  </si>
  <si>
    <t>O POP fornece instruções passo a passo para realizar  o teste</t>
  </si>
  <si>
    <t>La POS fournit des instructions pas à pas pour l'interprétation du test</t>
  </si>
  <si>
    <t>11- FONDAMENTAUX POUR LE TEST DE SENSIBILITE AUX ANTIMICROBIENS (TSA)</t>
  </si>
  <si>
    <t xml:space="preserve">11- ASPECTOS BÁSICOS DOS TESTES DE SENSIBILIDADE ANTIMICROBIANA (TSA) </t>
  </si>
  <si>
    <t>Atenção: todas as perguntas se referem apenas a isolados clínicos de pacientes, NÃO para isolados de pesquisa ou ambientais</t>
  </si>
  <si>
    <t>CONSERVATION DES DISQUES ANTIBIOTIQUES ET DE BANDELETTES GRADUEES</t>
  </si>
  <si>
    <t>MANUTENÇÃO DOS DISCOS E TIRAS DE GRADIENTE COM ANTIBIÓTICOS</t>
  </si>
  <si>
    <t>Os discos e tiras com antibióticos vêm com um certificado de análise do fabricante assegurando que eles foram testados e funcionaram de acordo com normas de qualidade ISO?</t>
  </si>
  <si>
    <t>Les cartouches qui ne sont pas encours d'utilisation sont-elles stockées non ouvertes et dans leur emballage d'origine afin d'empêcher la pénétration d'humidité?</t>
  </si>
  <si>
    <t>Os pacotes não utilizados, estão armazenados fechados e em sua embalagem original para evitar a entrada de umidade?</t>
  </si>
  <si>
    <t>Os discos e tiras com antibióticos fechados, estão armazenados em um freezer sem ciclo de desgelo?</t>
  </si>
  <si>
    <t>Si la cartouche de disque d'antibiotique a un capuchon, ce capuchon est-il replacé après chaque ouverture de la cartouche?</t>
  </si>
  <si>
    <t>Se o cartucho de disco de antibiótico tem uma tampa, a tampa é substituída cada vez que o cartucho é aberto?</t>
  </si>
  <si>
    <t>Une fois ouverts, les disques d'antibiotiques en cours d'utilisation sont-ils stockés de manière à ce que le numéro de lot et la date de péremption de chaque disque soient toujours traçables? (Lorsque des disques sont retirés et transférés dans des conteneurs secondaires, les numéros de lot peuvent être mélangés et des disques expirés peuvent être utilisés par inadvertance.)</t>
  </si>
  <si>
    <t>Uma vez abertos, os discos de antibióticos em uso, são armazenados de tal forma que o número de lote e a data de validade de cada disco é sempre rastreável? (Quando os discos individuais são removidos e transferidos para embalagens secundárias, números de lote podem se misturar e discos expirados podem ser utilizados inadvertidamente.)</t>
  </si>
  <si>
    <t xml:space="preserve">Os discos e tiras com antibióticos em uso são armazenados em um recipiente hermeticamente fechado com dissecantes ativos? </t>
  </si>
  <si>
    <t>Os dissecantes mudam de cor a medida que aumentam os níveis de umidade (indicando  a necessidade de substituir ou recarregar)?</t>
  </si>
  <si>
    <t xml:space="preserve">Se os dissecantes não tem um indicador de cor, os dissecantes incolores são substituídos pelo menos mensalmente? </t>
  </si>
  <si>
    <t>Os recipientes que contém discos/tiras de antibióticos abertas são armazenados no refrigerador ou congelador sem ciclo de degelo quando não estão em uso?</t>
  </si>
  <si>
    <t>Les récipients contenant les disques / bandelettes d'antibiotiques sont-ils laissés à la température ambiante avant de les ouvrir pour atteindre la température ambiante et minimiser la condensation (généralement 1 heure)?</t>
  </si>
  <si>
    <t>Os recipientes que contém discos/tiras de antibióticos abertos são deixados a equilibrar  à temperatura ambiente antes de abri-los para minimizar a condensação (geralmente 1 hora)</t>
  </si>
  <si>
    <t>PREPARAÇÃO DO INÓCULO</t>
  </si>
  <si>
    <t>Ao preparar um inóculo utilizando um método de suspensão de colônias, o laboratório já utilizou colônias  com menos de 18 horas?</t>
  </si>
  <si>
    <t>Ao preparar um inóculo utilizando um método de suspensão de colônias, o laboratório já utilizou colônias  com mais de 24 horas?</t>
  </si>
  <si>
    <t>Observez une préparation d'inoculum pour le TSA. Les techniciens utilisent-ils uniquement des colonies individuelles bien isolées ayant le même aspect?</t>
  </si>
  <si>
    <t>Observe uma preparação de inóculo para TSA. Os técnicos usam apenas colônias individuais e bem isoladas do mesmo tipo morfológico?</t>
  </si>
  <si>
    <t>As colônias são tomadas apenas a partir de meios não seletivos, tais como ágar sangue (ágar MacConkey é aceitável)</t>
  </si>
  <si>
    <t>O laboratório já misturou intencionalmente dois organismos diferentes no mesmo inóculo para fazer TSA?</t>
  </si>
  <si>
    <t>Um meio de inoculação apropriado, estéril (TSB ou salina) é utilizado?</t>
  </si>
  <si>
    <t>Est-ce que les enregistrements indiquent que stérilité de la solution saline est régulièrement vérifiée? (De préférence au moins une fois par semaine)</t>
  </si>
  <si>
    <t>Os registros indicam que a solução salina é testada para esterilidade regularmente? (preferencialmente, pelo menos semanalmente)</t>
  </si>
  <si>
    <t>L'inoculum est-il mis en supsension afin d'obtenir une densité équivalente à 0,5 McFarland?</t>
  </si>
  <si>
    <t>O inóculo é feito para uma densidade equivalente a 0.5 McFarland?</t>
  </si>
  <si>
    <t>Comment la précision de la mesure de la densité de l'inoculum est-elle contrôlée?</t>
  </si>
  <si>
    <t>Como é verificada a exatidão da densidade do inóculo?</t>
  </si>
  <si>
    <t>1: Densitomètre / turbidimètre étalonné - 2: Comparaison visuelle avec un étalon de 0,5 McFarland non périmé (contrôlez la date) - 3: Aucune de ces réponses.</t>
  </si>
  <si>
    <t>1: Densímetro calibrado/medidor de turbidez - 2: A comparação visual de um padrão 0.5 McFarland que não expirou (data de verificação) - 3: Nenhum dos acima</t>
  </si>
  <si>
    <t>INOCULAÇÃO / INCUBAÇÃO</t>
  </si>
  <si>
    <t>Le laboratoire utilise-t-il des géloses autre que Mueller Hinton pour le TSA des organismes non fastidieux?</t>
  </si>
  <si>
    <t>O laboratório já utilizou alguma vez outro ágar diferente do Mueller Hinton para TSA de organismos não fastidiosos?</t>
  </si>
  <si>
    <t>Observez l'ensmeencement d'une gélose MH.</t>
  </si>
  <si>
    <t xml:space="preserve">Observar a inoculação em uma placa MH </t>
  </si>
  <si>
    <t>O inóculo é sempre utilizado dentro dos 15 minutos de preparação?</t>
  </si>
  <si>
    <t>Un écouvillon stérile est-il utilisé pour ensemencer la gélose?</t>
  </si>
  <si>
    <t>Se utiliza um swab estéril para inocular a placa?</t>
  </si>
  <si>
    <t>L'inoculum est-il réparti de manière uniforme sur la gélose?</t>
  </si>
  <si>
    <t xml:space="preserve">O inóculo é espalhado de uma maneira a criar uma camada uniforme? </t>
  </si>
  <si>
    <t>Avant d’appliquer les disques / bandelettes, les géloses MH inoculées sont-elles laissées au contact du couvercle pendant 3 à 15 minutes au maximum pour permettre l’absorption de l’humidité excessive en surface?</t>
  </si>
  <si>
    <t>Antes de aplicar discos/tiras, as placas são deixadas em repouso com tampa entreaberta de  3 a não mais de 15 minutos para permitir a absorção do excesso de humidade da superfície?</t>
  </si>
  <si>
    <t>Les disques / bandelettes sont-ils parfois déplacés après avoir été placés sur la gélose?</t>
  </si>
  <si>
    <t>Os discos/tiras  já foram movidos depois de serem colocados no ágar?</t>
  </si>
  <si>
    <t>Quando se utiliza dispensadores multi-disco, se desinfeta a parte inferior do dispensador entre os isolamentos?</t>
  </si>
  <si>
    <t>Les géloses de TSA sont-elles incubées dans les 15 minutes suivant la mise en place des disques / bandelettes?</t>
  </si>
  <si>
    <t>As placas de TSA são incubadas dentro de 15 minutos após a inserção dos discos/tiras?</t>
  </si>
  <si>
    <t>Après ensemencement du TSA, des boîtes de pureté sont-elles fabriquées à partir de la suspension restante?</t>
  </si>
  <si>
    <t xml:space="preserve">Após a inoculação para TSA, o laboratório utiliza o inóculo restante para fazer "placas de pureza"? </t>
  </si>
  <si>
    <t>Une boîte de pureté est un repiquage  de l'inoculum réalisé pour garantir que l'inoculum n'était ni mélangé ni contaminé. Elle est généralement striée comme une urine pour assurer la visualisation des colonies individuelles et contrôler la pureté lors de la lecture des résultats de TSA</t>
  </si>
  <si>
    <t>Uma placa de pureza é uma subcultura do inóculo que é feito para assegurar o mesmo  não estava misturado ou contaminado, geralmente se semeia como urina para garantir a visualização de colônias individuais e  verificar a sua pureza ao ler os resultados de TSA</t>
  </si>
  <si>
    <t>Les boites de TSA pour organismes non fastidieux sont elles parfois incubées dans du CO2?</t>
  </si>
  <si>
    <t>As placas de TSA para organismos não-fastidiosos são incubadas em CO2?</t>
  </si>
  <si>
    <t>Les plaques de TSA pour S. pneumoniae sont-elles parfois incubées dans 5% de CO2?</t>
  </si>
  <si>
    <t>As placas de TSA para S. pneumoniae são incubadas em 5% de CO2?</t>
  </si>
  <si>
    <t>Observez des géloses Mueller Hinton de TSA en cours d'incubation et / ou récemment lues .</t>
  </si>
  <si>
    <t>Observe algumas placas de Mueller Hinton para TSA atualmente incubadas e/ou lidas recentemente.</t>
  </si>
  <si>
    <t>Les zones de croissance sont-elles confluentes (pas de trous ni de colonies individuelles visibles)?</t>
  </si>
  <si>
    <t>O crescimento é uniforme (sem mostrar lacunas ou colônias individuais)?</t>
  </si>
  <si>
    <t>Existe um máximo de 6 discos de antibióticos na placa de 100 mm?</t>
  </si>
  <si>
    <t>Existe um máximo de 12 discos de antibióticos na placa de 150 mm?</t>
  </si>
  <si>
    <t>Os discos estão espaçados corretamente? (Pelo menos 24 milímetros de centro a centro, não há zonas que se sobrepõem, não muito próximos da borda, zonas circulares uniformes)</t>
  </si>
  <si>
    <t>LEITURA DOS RESULTADOS DOS TSA</t>
  </si>
  <si>
    <t>Os resultados de TSA já foram lidos com menos de 16 horas de incubação?</t>
  </si>
  <si>
    <t>Os resultados de TSA já foram lidos com mais de 24 horas de incubação?</t>
  </si>
  <si>
    <t>Se as colônias individuais são aparentes dentro da zona de inibição, o laboratório repete o  teste com uma subcultura fresco de uma única colônia da placa original?</t>
  </si>
  <si>
    <t>Observez une boite Mueller Hinton de TSA en cours de lecture.</t>
  </si>
  <si>
    <t xml:space="preserve">Observar a leitura de TSA em uma placa Mueller Hinton </t>
  </si>
  <si>
    <t>La boite est-elle disposée au-dessus d'un fond noir non réfléchissant?</t>
  </si>
  <si>
    <t>A placa é colocada sobre um fundo preto, não-reflexivo?</t>
  </si>
  <si>
    <t>La boite est-elle bien éclairée par la lumière réfléchie?</t>
  </si>
  <si>
    <t>A placa  é iluminada de forma adequada com a luz refletida?</t>
  </si>
  <si>
    <t>La boite est-elle retournée et les zones mesurées par en-dessous?</t>
  </si>
  <si>
    <t>A placa é invertida e os halos medidos na parte posterior?</t>
  </si>
  <si>
    <t>Une règle ou un pied à coulisse avec des repères millimétriques sont-ils utilisés pour mesurer la taille des zones d'inhibition?</t>
  </si>
  <si>
    <t>Uma régua ou um paquímetro com marcas milimétricas é utilizado para medir os tamanhos dos halos de inibição?</t>
  </si>
  <si>
    <t>Le laboratoire possède-t-il un document d’orientation avec des photos décrivant comment mesurer la taille des zones d'inhibition, tel que le CLSI M02 ou les guides de lecture de diffusion  EUCAST?</t>
  </si>
  <si>
    <t>O laboratório possui um documento de orientação com  fotos que descrevem como medir os diâmetros dos halos de inibição, como os guias de leitura do método disco-difusão do CLSI M02 ou do EUCAST ?</t>
  </si>
  <si>
    <t>Le laboratoire possède-t-il un document d'orientation avec des photos décrivant comment lire les résultats des bandelettes graduées?</t>
  </si>
  <si>
    <t>O laboratório possui um documento de orientação com  fotos que descrevem como medir os valores nas tiras de gradiente?</t>
  </si>
  <si>
    <t>Por exemplo http://www.ilexmedical.com/files/ETEST_RG.pdf</t>
  </si>
  <si>
    <t>La POS ou l'aide mémoire indique-t-elle que le diamètre d'inhibition et / ou les valeurs de CMI du cotrimoxazole (SXT) sont mesurés à une inhibition de pousse de 80% plutôt qu'à 100%?</t>
  </si>
  <si>
    <t xml:space="preserve">O POP ou instrução de bancada instrui que os halos de inibição/ou valores do MIC para o Cotrimoxazol (SXT) são medidos a 80% de inibição do crescimento, ao invés de 100%? </t>
  </si>
  <si>
    <t>Est-ce que la POS ou l'aide mémoire vous explique comment mesurer les diamètres d'inhibition et / ou les valeurs de CMI lorsqu'une nappe de Proteus spp.  est présente?</t>
  </si>
  <si>
    <t>O POP ou instrução de bancada instrui como medir os halos de inibição e / ou valores do MIC quando o véu (swarming) do Proteus spp. está presente?</t>
  </si>
  <si>
    <t>Le logiciel de l'automate de TSA est-il à jour?</t>
  </si>
  <si>
    <t xml:space="preserve">O software do instrumento automatizado de TSA está atualizado? </t>
  </si>
  <si>
    <t>Responda NA se o laboratório não utiliza instrumento de TSA automatizado</t>
  </si>
  <si>
    <t>Existe-t-il des preuves que des actions appropriées sont entreprises lorsque le logiciel de l'automate de TSA signale un résultat de TSA douteux (comme le contrôle de la pureté ou la répétition du test par une autre méthode)?</t>
  </si>
  <si>
    <t>Existe evidência de que ações apropriadas sejam tomadas quando o software do instrumento de TSA alerta um resultado como duvidoso ​​(como a verificação de pureza ou repetição do teste por outro método)?</t>
  </si>
  <si>
    <t>Remarque: La résistance naturelle est définie comme une résistance inhérente ou innée (non acquise) qui se reflète dans le type sauvage de tous les représentants d'une espèce. Par exemple, Citrobacter spp. et Klebsiella spp. sont intrinsèquement (naturellement) résistants à l'ampicilline</t>
  </si>
  <si>
    <t>Nota: A resistência intrínseca é definida como uma resistência inerente ou inata (não adquirida) que se reflete no tipo "selvagem" de todos os representantes de uma espécie; por exemplo, Citrobacter spp. e Klebsiella spp. são intrinsecamente (naturalmente) resistentes à ampicilina</t>
  </si>
  <si>
    <t>Vérifier les POS et les dossiers d'évaluation de la formation / des compétences</t>
  </si>
  <si>
    <t>Les POS ou les aides mémoire pour les TSA fournissent-ils des exemples de profils de résistance naturelle? (Comme ceux qui figurent dans le CLSI M100, Annexe B ou EUCAST Expert Rules V3.1)</t>
  </si>
  <si>
    <t>Os POPs ou instruções de bancada sobre TSA fornecem exemplos de padrões de resistência intrínseca? (Tais como aqueles encontrados no Apêndice B do CLSI M100 ou nas Regras de Especialista do EUCAST V3.1)</t>
  </si>
  <si>
    <t>Verifique POPs e registros de avaliação de treinamento /competência</t>
  </si>
  <si>
    <t>Est-ce que les POS ou les aides mémoire pour les TSA définissent des exemples de résultats de TSA inhabituels ou inattendus? (Comme ceux décrits dans l’annexe A du CLSI M100 ou les règles expert EUCAST V3.1)</t>
  </si>
  <si>
    <t>Os POPs ou instruções de bancadas definem  exemplos de resultados incomuns ou inesperados no TSA? (Tais como aqueles  encontrados no CLSI M100 Apêndice A ou EUCAST Regras do Especialista V3.1)</t>
  </si>
  <si>
    <t>Les POS ou les aides mémoire pour les TSA décrivent-ils les mesures à prendre lorsque des résultats de TSA inhabituels ou inattendus sont rencontrés (par exemple, vérifier la pureté, reconfirmer l'identification d'un organisme, vérifier le CQ concerné, répéter les tests, informer le superviseur)?</t>
  </si>
  <si>
    <t xml:space="preserve">Os POPs ou instruções de bancada sobre TSA descrevem sobre que ações devem ser tomadas quando se encontram resultados de TSA incomuns ou inesperados (ex. verificar a pureza, reconfirmar a ID do organismo, verificar o CQ, repetição do teste, notificar supervisor)? </t>
  </si>
  <si>
    <t xml:space="preserve">Existe evidência de que tais ações estão sendo tomadas? </t>
  </si>
  <si>
    <t>Le responsable de la microbiologie ou le superviseur est-il informé losque des résultats du TSA sont inhabituels?</t>
  </si>
  <si>
    <t>O responsável ou supervisor da microbiologia é  informado quando resultados de TSA incomuns são identificados?</t>
  </si>
  <si>
    <t>Un superviseur examine-t-il tous les résultats du TSA pour rechercher des résultats inhabituels avant que ces résultats ne soient communiqués aux médecins?</t>
  </si>
  <si>
    <t>O supervisor rever todos os resultados de TSA  para identificar resultados anormais antes que os resultados sejam reportados aos médicos?</t>
  </si>
  <si>
    <t>Existe evidência de que o supervisor recebeu treinamento adequado sobre como reconhecer resultados incomuns de TSA?</t>
  </si>
  <si>
    <t>NORMES POUR LES SEUILS</t>
  </si>
  <si>
    <t>Quelle norme pour les seuisl des TSA le laboratoire utilise-t-il principalement?</t>
  </si>
  <si>
    <t xml:space="preserve">Qual norma de ponto de corte para TSA que o laboratório utiliza principalmente? </t>
  </si>
  <si>
    <t>1: CLSI - 2: EUCAST - 3: Outro (por favor indique nos comentários) - 4: Nenhum / misturado</t>
  </si>
  <si>
    <t>Solicite ver uma cópia impressa mais recente da norma do laboratório. Tem menos de 3 anos de idade?</t>
  </si>
  <si>
    <t>O laboratório obtém  atualizações do norma em uso pelo menos a cada 3 anos?</t>
  </si>
  <si>
    <t>Le laboratoire examine-t-il les modifications importantesdes normes, par exemple. changements de seuils, avec les comités hospitaliers compétents (p. ex. pharmacie et thérapeutique, intendance)?</t>
  </si>
  <si>
    <t>O laboratório revisa mudanças importantes nos padrões, ex. mudanças nos ponto de corte, com as comissões competentes do hospital (por exemplo, farmácia e terapêutica, manejo de antibióticos)?</t>
  </si>
  <si>
    <t xml:space="preserve">Existe internet gratuita no laboratório para acessar os arquivos PDFs do EUCAST l ou  da versão online do CLSI M100? </t>
  </si>
  <si>
    <t xml:space="preserve">http://www.eucast.org/ast_of_bacteria/guidance_documents/ </t>
  </si>
  <si>
    <t>Existe evidência de que o pessoal da microbiologia tenha recebido treinamento adequado sobre a forma de utilizar os documentos CLSI M100 ou EUCAST de forma eficaz? (1: Sim - 2: Alguns, mas gostariam de treinamento adicional - 3: Não)</t>
  </si>
  <si>
    <t>Para as próximas 3 perguntas, responder NA se o laboratório não utiliza os discos correspondentes.</t>
  </si>
  <si>
    <t>Look at the cefotaxime disks currently in use. Does the drug concentration correspond correctly to the standard the lab uses? (CLSI breakpoints require 30µg disks, EUCAST breakpoints require 5µg disks).</t>
  </si>
  <si>
    <t>Regardez les disques de cefotaxime en cours d'utilisation. La concentration en médicament correspond-elle à la norme utilisée par le laboratoire? (Les seuils CLSI requièrent des disques de 30 µg, les seuils EUCAST nécessitent des disques de 5 µg).</t>
  </si>
  <si>
    <t>Mire los discos de cefotaxima actualmente en uso. ¿La concentración del antibiótico se corresponde correctamente con el estándar que usa el laboratorio? (Los puntos de corte CLSI requieren discos de 30µg, los puntos de corte EUCAST requieren discos de 5µg).</t>
  </si>
  <si>
    <t>Verifique os discos cefotaxima atualmente em uso. A concentração do antibiótico corresponde corretamente com o norma que o laboratório usa? (Os pontos de corte do CLSI requerem discos 30µg, os pontos de corte do EUCAST requerem discos 5 µg).</t>
  </si>
  <si>
    <t>Look at the ceftazidime disks currently in use. Does the drug concentration correspond correctly to the standard in use? (CLSI breakpoints require 30µg disks, EUCAST breakpoints require 10µg)</t>
  </si>
  <si>
    <t>Regardez les disques de ceftazidime en cours d'utilisation. La concentration en médicament correspond-elle correctement à la norme utilisée? (Les seuils CLSI nécessitent des disques de 30 µg, les seuils EUCAST nécessitent de 10 µg)</t>
  </si>
  <si>
    <t>Mire los discos de ceftazidima actualmente en uso. ¿La concentración del antibiótico corresponde correctamente con el estándar que se usa en el laboratorio? (Los puntos de corte CLSI requieren discos de 30µg, los puntos de corte EUCAST requieren 10µg)</t>
  </si>
  <si>
    <t>Verifique os discos ceftazidima atualmente em uso. A concentração do antibiótico corresponde corretamente com o norma que o laboratório usa? (Os pontos de corte do CLSI requerem discos 30µg, os pontos de corte do EUCAST requerem discos 10 µg).</t>
  </si>
  <si>
    <t>Look at the piperacillin-tazobactam disks currently in use. Does the drug concentration correspond correctly to the standard in use? (CLSI breakpoints require 100/10µg disks, EUCAST breakpoints require 30/6µg disks).</t>
  </si>
  <si>
    <t>Regardez les disques de pipéracilline-tazobactam en cours d'utilisation. La concentration en médicament correspond-elle correctement à la norme utilisée? (Les seuils CLSI nécessitent des disques 100 / 10µg, les seuils EUCAST nécessitent des disques 30 / 6µg).</t>
  </si>
  <si>
    <t>Mire los discos de piperacilina-tazobactam actualmente en uso. ¿La concentración del antibiótico corresponde correctamente con el estándar que se usa en el laboratorio? (Los puntos de corte CLSI requieren discos de 100 / 10µg, los puntos de corte EUCAST requieren discos de 30 / 6µg).</t>
  </si>
  <si>
    <t>Verifique os discos piperacilina-tazobactam atualmente em uso. A concentração do antibiótico corresponde corretamente com o norma que o laboratório usa? (Os pontos de corte do CLSI requerem discos 100/10µg, os pontos de corte do EUCAST requerem discos 30/6 µg).</t>
  </si>
  <si>
    <t>12- RÈGLES D'EXPERTIS POUR LE TSA</t>
  </si>
  <si>
    <t>12- REGRAS DO ESPECIALISTA PARA TSA</t>
  </si>
  <si>
    <t>REGRAS DE ESPECIALISTA  PARA SALMONELLA</t>
  </si>
  <si>
    <t>Examiner le rapport d'un TSA d'un patient présentant un isolat de Salmonella ou de Shigella. L'une des classes de médicaments suivantes at-elle été testée ou rapportée?</t>
  </si>
  <si>
    <t>Avaliar um resultado de TSA para um isolado de Salmonella ou Shigella na amostra de paciente. Algumas das seguintes classes de antibióticos foram testadas ou relatadas?</t>
  </si>
  <si>
    <t>Ces médicaments peuvent sembler actifs in vitro, mais ne sont pas efficaces sur le plan clinique contre Salmonella ou Shigella et ne devraient pas être rapportés comme sensibles, quel que soit le résultat du test de TSA.</t>
  </si>
  <si>
    <t>Estas drogas podem aparecer ativas in vitro, mas não são eficazes clinicamente contra Salmonella ou Shigella e não deve ser classificadas como sensíveis, independentemente do resultado do TSA.</t>
  </si>
  <si>
    <t>Cefalosporinas de 2ª geração  (cefuroxima, cefonicida, cefamandol)</t>
  </si>
  <si>
    <t>Aminoglicosídeos (gentamicina, tobramicina, amicacina)</t>
  </si>
  <si>
    <t>Le laboratoire utilise-t-il l'acide nalidixique pour le dépistage de la résistance à la ciprofloxacine des isolats de Salmonella?</t>
  </si>
  <si>
    <t>O laboratório utiliza ácido nalidixo para buscar isolados de Salmonella resistentes a ciprofloxacina?</t>
  </si>
  <si>
    <t>GRAM NÉGATIFS ET SEUILS POUR LES BETA-LACTAMINES</t>
  </si>
  <si>
    <t xml:space="preserve">GRAM NEGATIVOS E PONTOS DE CORTE DE BETALACTÂMICOS </t>
  </si>
  <si>
    <t>À compter de 2009, le CLSI et EUCAST ont abaissé les seuils de plusieurs  bêta-lactamines et de l'Aztréonam afin d'améliorer la détection de la résistance.</t>
  </si>
  <si>
    <t xml:space="preserve">A partir de 2009, CLSI e EUCAST reduziram os pontos de corte para vários antibióticos beta-lactâmicos e Aztreonam, a fim de melhorar a detecção de resistência. </t>
  </si>
  <si>
    <t>(Selecione NA se o antibiótico não está em uso)</t>
  </si>
  <si>
    <t>Enterobacteriaceae e Aztreonam</t>
  </si>
  <si>
    <t>Enterobacteriaceae e Cefotaxima</t>
  </si>
  <si>
    <t>Enterobacteriaceae e Ceftriaxona</t>
  </si>
  <si>
    <t>Enterobacteriaceae e Ceftazidime</t>
  </si>
  <si>
    <t>Enterobacteriaceae e Cefepime</t>
  </si>
  <si>
    <t>Enterobacteriaceae et Imipeneme</t>
  </si>
  <si>
    <t>Enterobacteriaceae et Méropéneme</t>
  </si>
  <si>
    <t>Enterobacteriaceae e Meropenem</t>
  </si>
  <si>
    <t>Enterobacteriaceae et Ertapeneme</t>
  </si>
  <si>
    <t>Enterobacteriaceae e Ertapenem</t>
  </si>
  <si>
    <t>Enterobacteriaceae et Doripeneme</t>
  </si>
  <si>
    <t>Enterobacteriaceae e Doripenem</t>
  </si>
  <si>
    <t>Acinetobacter et Imipeneme</t>
  </si>
  <si>
    <t>Acinetobacter e Meropenem</t>
  </si>
  <si>
    <t>Acinetobacter et Doripeneme</t>
  </si>
  <si>
    <t>Acinetobacter e Doripenem</t>
  </si>
  <si>
    <t>Pseudomonas e Cefepime</t>
  </si>
  <si>
    <t>Pseudomonas e Piperacilina</t>
  </si>
  <si>
    <t>Pseudomonas e Piperacilina-Tazobactam</t>
  </si>
  <si>
    <t>Pseudomonas e Ticarcillin-Clavulanato</t>
  </si>
  <si>
    <t>Pseudomonas et Imipeneme</t>
  </si>
  <si>
    <t>Pseudomonas et Méropéneme</t>
  </si>
  <si>
    <t>Pseudomonas e Meropenem</t>
  </si>
  <si>
    <t>Pseudomonas et Doripeneme</t>
  </si>
  <si>
    <t>Pseudomonas e Doripenem</t>
  </si>
  <si>
    <t>TESTS PHENOTYPIQUES POUR LES BLSE</t>
  </si>
  <si>
    <t>TETES PARA A DETECÇÃO FENOTÍPICA DA ESBL</t>
  </si>
  <si>
    <t>REMARQUE: Les questions 12.26 et 12.27 ne concernent que les laboratoires n'utilisant PAS les seuils actuels des céphalosporine et de l'aztréonam. Si ce laboratoire utilise les seuils actuels, sélectionnez NA pour les deux questions et passez à la question 12.28.</t>
  </si>
  <si>
    <t>NOTA: As perguntas 12.26 e 12.27 só se aplicam aos laboratórios que NÃO usam os pontos de corte atuais de cefalosporina e aztreonam. Se este laboratório usa pontos de corte atualizados, selecione NA para ambas as perguntas e passe para a pergunta 12.28</t>
  </si>
  <si>
    <t>Les laboratoires qui n'utilisent PAS les seuils actuels pour les céphalosporines et l'aztréonam doivent effectuer des tests phénotypique en routinepour les BLSE. Pour les isolats positifs pour les BLSE, toutes les pénicillines, céphalosporines et aztréonam sensibles au test doivent être déclarés résistants. Cette pratique (modification des interprétations des BLSE + de S à R) est-elle en place?</t>
  </si>
  <si>
    <t>Os laboratórios que NÃO usam pontos de corte atuais de cefalosporina e aztreonam devem executar testes de rotina para a detecção fenotípica de ESBL. Para os isolados positivos para ESBL, todas as penicilinas, cefalosporinas e aztreonam que testem sensíveis devem ser classificados como resistentes. Esta prática é aplicada (alterar as interpretações ESBL+ de S para R)?</t>
  </si>
  <si>
    <t>Les laboratoires n'utilisant PAS les seuils actuels pour l'aztréonam et les céphalosporines doivent joindre un commentaire d'avertissement au compte-rendu concernant les bactéries productrices de BLSE: «Les producteurs de BLSE doivent être considérés comme cliniquement résistants à toutes les pénicillines, céphalosporines et à l'aztréonam.» Cette pratique est-elle en place?</t>
  </si>
  <si>
    <t>Os laboratórios que NÃO usam pontos de corte atuais de cefalosporina e aztreonam  devem anexar um comentário de advertência no resultado  dos organismos ESBL positivos: “Os produtores de ESBL devem ser considerados resistentes clinicamente para todas as penicilinas, cefalosporinas e aztreonam.” Esta prática é aplicada?</t>
  </si>
  <si>
    <t>Para laboratórios que utilizam pontos de corte atuais de cefalosporina e aztreonam, CLSI e EUCAST não recomendam realizar testes de rotina para detecção fenotípica de ESBL. Além disso, se o teste de ESBL é realizado e o teste é positivo, as interpretações para os agentes beta lactâmicos NÃO precisam ser mudados de sensíveis  a resistentes. O laboratório deixou de  editar os resultados do TSA  com base no resultado do teste de ESBL?</t>
  </si>
  <si>
    <t>O laboratório executa quaisquer testes fenotípicos para a produção de ESBL? Incluindo discos, tiras de gradiente, ou um placas com poços em um sistema automatizado.</t>
  </si>
  <si>
    <t>Si non, répondez NA jusqu'à la section de test de carbapénémase</t>
  </si>
  <si>
    <t>Se não, responder NA até Seção de Provas de  Carbapenemases</t>
  </si>
  <si>
    <t>O método de detecção fenotípica de ESBL incluem tanto cefotaxima (ou Ceftriaxona) E ceftazidima sozinha e em combinação com ácido clavulânico?</t>
  </si>
  <si>
    <t>O laboratório executa quaisquer testes de detecção genotípicas para a produção de ESBL? (Por exemplo,PCR)</t>
  </si>
  <si>
    <t>Les enregistrements indiquent-ils que le contrôle qualité des tests de BLSE est effectué toutes les semaines ou à chaque fois qu'un test est effectué?</t>
  </si>
  <si>
    <t>Os registros indicam que o controle de qualidade para testes de ESBL é feito em uma base semanal ou cada vez que o teste é realizado?</t>
  </si>
  <si>
    <t>Les enregistrements indiquent-ils que le laboratoire utilise à la fois les organismes de contrôle positifs et négatifs pour effectuer le  CQ du test de recherche de BLSE en cours d'utilisation ? (Une souche productrice de BLSE couramment utilisée est Klebsiella pneumoniae ATCC 700603)</t>
  </si>
  <si>
    <t>Os registros indicam que laboratório usa ambos os organismos de controle positivo e negativo para CQ do teste de ESBL em uso? (a cepa ESBL positiva  comumente utilizada é Klebsiella pneumoniae ATCC 700603)</t>
  </si>
  <si>
    <t>Lorsqu'un test de diagnostic de BLSE est positif, l'Equipe de contrôle des infections est-elle avertie par le laboratoire?</t>
  </si>
  <si>
    <t>Quando um resultado ESBL positivo é confirmado, a equipe de controle de infecção é notificada pelo laboratório?</t>
  </si>
  <si>
    <t xml:space="preserve">TEST PHENOTYPIQUE DE CARBAPENEMASE </t>
  </si>
  <si>
    <t>PROVAS PARA A DETECÇÃO FENOTÍPICA DE CARBAPENEMASES</t>
  </si>
  <si>
    <t>Les laboratoires qui n'utilisent PAS les seuils en vigueur pour les carbapénèmes doivent effectuer des tests de routine pour la production de carbapénémase (par exemple, CarbaNP, mCIM ou un dosage moléculaire). Si une carbapénémase est détectée, tous les carbapénèmes testés doivent être considérés comme résistantes. Cette pratique (modification des résultats de S à R basée sur le résultat positif du testde carbapénémase) est-elle en place?</t>
  </si>
  <si>
    <t>Os laboratórios que NÃO utilizam pontos de corte atuais de carbapenem  devem executar testes de rotina para detectar a produção de Carbapenemases (ex. CarbaNP, MCIM, ou um ensaio molecular). Se uma Carbapenemases é detectada, todos os carbapêmicos que testam sensíveis devem ser classificados como resistentes. Esta prática é aplicada (alterar resultados de S para R com base no resultado positivo do teste de Carbapenemases)?</t>
  </si>
  <si>
    <t>Remarque: sélectionnez NA si le laboratoire utilise les seuils en vigueur.</t>
  </si>
  <si>
    <t>Nota: Selecione NA se o laboratório utiliza pontos de corte atuais de carbapenem</t>
  </si>
  <si>
    <t>Pour les laboratoires qui utilisent les seuils en vigueur pour la carbapénème, CLSI et EUCAST ne recommandent plus les tests de routine pour la production de carbapénémase. En outre, si de tels tests sont effectués et que le test est positif, il n'est PAS nécessaire de modifier l'interprétation des carbapénèmes de sensible à résistant. Le laboratoire a-t-il cessé de réviser les résultats du TSA sur la base du résultat du test de carbapénémase?</t>
  </si>
  <si>
    <t>Para laboratórios que usam pontos de corte atuais de carbapenem, CLSI e EUCAST não recomendam testes de rotina para a detectar a produção de Carbapenemases. Além disso, se a testagem é realizada e o teste é positivo, as interpretações de carbapêmicos NÃO precisam de ser mudados de sensível a resistente. O laboratório deixou de  editar os resultados do TSA  com base no resultado do teste de Carbapenemases?</t>
  </si>
  <si>
    <t>Remarque: sélectionnez NA si le laboratoire N'UTILISE PAS les seuils en vigueur.</t>
  </si>
  <si>
    <t>Nota: Selecione NA se o laboratório NÃO utiliza pontos de corte atuais de carbapenem</t>
  </si>
  <si>
    <t>O laboratório realiza alguma das seguintes provas fenotípicas para a produção de Carbapenemases?</t>
  </si>
  <si>
    <t>Teste de Hodge modificado</t>
  </si>
  <si>
    <t xml:space="preserve">Autre méthode en disque, par exemple, test de disque combiné ou test de synergie de disques </t>
  </si>
  <si>
    <t>Outro método de disco, por exemplo, teste de combinação de discos ou sinergia de disco duplo</t>
  </si>
  <si>
    <t>Test CMI en bandelette par exemple, Etest KPC, MBL ou Liofilchem ​​MRP / MBO, ETP / EBO</t>
  </si>
  <si>
    <t>Prova de MIC em tira, por exemplo, Etest KPC, a MBL ou Liofilchem ​​MRP / MBO, ETP / EBO</t>
  </si>
  <si>
    <t>Provas Bioquímica (colorimétrica), por exemplo CarbaNP, BCT, ou β CARBA</t>
  </si>
  <si>
    <t>Gélose chromogénique spécifique pour les bactéries productrices de carbapénémase</t>
  </si>
  <si>
    <t>Agar cromogênico específico para produtores de Carbapenemases</t>
  </si>
  <si>
    <t>Méthode d'inactivation des carbapénèmes modifiée (MICM)</t>
  </si>
  <si>
    <t>Método de Inativação de Carbapenem Modificado  (MCIM)</t>
  </si>
  <si>
    <t>O laboratório realiza alguma prova genotípica para detectar a produção Carbapenemases? (Ex., PCR, GeneXpert, etc.)</t>
  </si>
  <si>
    <t>Les enregistrements indiquent-ils que le contrôle de la qualité est effectué chaque fois qu'un test de carbapénémase est effectué?</t>
  </si>
  <si>
    <t>Os registros indicam que o controle de qualidade é feito cada vez que o teste Carbapenemases é realizado?</t>
  </si>
  <si>
    <t xml:space="preserve">Os registros indicam que laboratório usa ambos os organismos de controle positivo e negativo para o CQ do teste Carbapenemases em uso? </t>
  </si>
  <si>
    <t>Lorsqu'une bactérie productrice de carbapénémase est détectée, cela est-il noté dans le rapport final au clinicien?</t>
  </si>
  <si>
    <t>Quando um produtor Carbapenemases é detectado, é anotado no relatório final transmitido ao médico?</t>
  </si>
  <si>
    <t>Lorsqu'une bactérie productrice de carbapénémase est détecté, le laboratoirea vertit-t-il l'Equipe de contrôle des infections?</t>
  </si>
  <si>
    <t>Quando um produtor Carbapenemases é detectado, a equipe de controle de infecção é notificada pelo laboratório?</t>
  </si>
  <si>
    <t>PROVAS DA COLISTINA</t>
  </si>
  <si>
    <t>Le laboratoire effectue-t-il un TSA pour la colistine? (Non noté. Si non, passez à la section suivante.)</t>
  </si>
  <si>
    <t>O laboratório realiza TSA em colistina? (Não pontua. Se Não, passe para a próxima seção).</t>
  </si>
  <si>
    <t>Quais são os métodos de TSA que o laboratório  utiliza para a colistina? (Assinale todas que se aplicam)</t>
  </si>
  <si>
    <t>Disco-difusão</t>
  </si>
  <si>
    <t>Tiras de gradiente (Ex, Etest / Liofilchem)</t>
  </si>
  <si>
    <t>Instrumento automatizado (Ex., Vitek / Phoenix)</t>
  </si>
  <si>
    <t>Microdiluição em caldo (BMD) com Polissorbato 80</t>
  </si>
  <si>
    <t>Microdiluição em caldo (BMD) sem Polissorbato 80</t>
  </si>
  <si>
    <t xml:space="preserve">Método de eluição de discos de colistina em caldo (CBDE) </t>
  </si>
  <si>
    <t>Os registros indicam que o controle de qualidade para TSA de colistina é realizada semanalmente ou cada vez que o teste é realizado?</t>
  </si>
  <si>
    <t>Quando a resistência a colistina é detectada,  algum  dos seguintes é notificado?</t>
  </si>
  <si>
    <t>Supervisor de laboratório</t>
  </si>
  <si>
    <t>Equipe de Doenças Infecciosas</t>
  </si>
  <si>
    <t>Equipe de Controle de Infecção</t>
  </si>
  <si>
    <t>Quando se detecta resistência a colistina, o isolado é enviado para um laboratório de referência para a caracterização molecular (ex., teste para os genes mcr)?</t>
  </si>
  <si>
    <t xml:space="preserve">Se o laboratório utiliza Microdiluição em caldo para TSA da colistina,  o sulfato de colistina é usado e não colistina metano-sulfonato (sulfometato)? </t>
  </si>
  <si>
    <t>O derivado da colistina metano-sulfonato ( "cms") é uma pró-fármaco inativo que se decompõe lentamente em solução e, portanto, não pode ser usado para TSA.</t>
  </si>
  <si>
    <t>Se o laboratório realiza Microdiluição em caldo (BMD) para TSA da colistina, o caldo Mueller Hinton utilizado é ajustado com cátions?</t>
  </si>
  <si>
    <t>Répondre NA si le laboratoire ne réalise pas la MDB</t>
  </si>
  <si>
    <t>Responda NA se o laboratório não realiza Microdiluição em caldo (BMD)</t>
  </si>
  <si>
    <t>O laboratório tem treinado a equipe médica sobre as limitações atuais e riscos associados com a  colistina nos TSA?</t>
  </si>
  <si>
    <t>Se não, responder NA a próxima pergunta</t>
  </si>
  <si>
    <t>O laboratório utiliza discos oxacilina para testar  MRSA?</t>
  </si>
  <si>
    <t>Lorsque les résultats de l'oxacilline et de la céfoxitine sont non-concordants pour S. aureus (l'un est S et l'autre R), comment le laboratoire rapporte-t-il l'oxacilline?</t>
  </si>
  <si>
    <t xml:space="preserve">Quando os resultados de oxacilina e cefoxitina  são discrepantes para S. aureus (um é S e outro é R), como o laboratório reporta a oxacilina? </t>
  </si>
  <si>
    <t>1: Relata a interpretação da oxacilina, independentemente do resultado da cefoxitina - 2: Relata a interpretação da cefoxitina, independentemente do resultado da oxacilina - 3: Se uma ou outra droga testa R, relatar o resultado como R - NA: O laboratório apenas testa uma destas drogas, não ambas</t>
  </si>
  <si>
    <t>O laboratório utiliza discos de vancomicina para detectar VISA / VRSA?</t>
  </si>
  <si>
    <t>Lorsqu'une méthode de CMI manuelle est utilisée pour tester la vancomycine sur Staph aureus, le test est-il incubé pendant 24 heures complètes avant de lire le résultat?</t>
  </si>
  <si>
    <t>Quando um método manual é usado para testar o MIC da vancomicina no Staph aureus,  o teste é incubado  durante 24 horas antes de ler o resultado?</t>
  </si>
  <si>
    <t>Répondre NA si la méthode manuelle de CMI n'est pas utilisée</t>
  </si>
  <si>
    <t xml:space="preserve">Responda NA se não se utiliza o método manual para medir o MIC </t>
  </si>
  <si>
    <t>Répondre NA si la vancomycine n'est pas testée</t>
  </si>
  <si>
    <t xml:space="preserve">Responda NA se a vancomicina não é testada </t>
  </si>
  <si>
    <t>CONSIDÉRATIONS GÉNÉRALES CONCERNANT STREPTOCOQUE PNEUMONIAE</t>
  </si>
  <si>
    <t>La surface de la gélose est-elle lue avec le couvercle retiré?</t>
  </si>
  <si>
    <t>A superfície superior do ágar é lida com a tampa removida?</t>
  </si>
  <si>
    <t>A placa está iluminada de forma adequada com a luz refletida?</t>
  </si>
  <si>
    <t>Les zones où la croissance est inhibée sont-elles mesurées (et non la zone d'hémolyse)?</t>
  </si>
  <si>
    <t>Os halos são medidos onde o crescimento é inibido (em oposição à zona de hemólise)?</t>
  </si>
  <si>
    <t>Y a t il au maximum 4 disques par boîte de 100 mm ou 9 disques par boîte de 150 mm?</t>
  </si>
  <si>
    <t>Si le laboratoire utilise un disque d'oxacilline (1ug) pour dépister la résistance à la pénicilline de Strep. pneumoniae, que recommande la POS du laboratoire lorsque le dimaètre d'inhibition est &lt;19? (Par rapport à la pénicilline G ou à la benzylpénicilline, en formulation IV)</t>
  </si>
  <si>
    <t>Se o laboratório utiliza um disco de oxacilina (1 ug) para triagem de resistência à penicilina em Strep. pneumoniae, quais os instruções do POP do laboratório quando o diâmetro do halo mede &lt;19? (Referindo-se penicilina G ou benzilpenicilina, a formulação IV)</t>
  </si>
  <si>
    <t>1: Signaler une résistance à la pénicilline - 2: Effectuer des tests supplémentaires à l'aide d'une méthode CMI pénicilline - NA: le laboratoire ne réalise pas de dépistage de l'oxacilline</t>
  </si>
  <si>
    <t>1: Relata resistente a penicilina - 2: Realiza testes adicionais usando um método CIM para penicilina - NA: laboratório não realiza teste de oxacilina</t>
  </si>
  <si>
    <t>Le laboratoire effectue-t-il des TSA pour S. pneumoniae? (Non noté. Si non, passez à la section suivante.)</t>
  </si>
  <si>
    <t>O laboratório realiza TSA para S. pneumoniae? (Não pontua. Se não, pule para a próxima seção).</t>
  </si>
  <si>
    <t>O laboratório utiliza o método de disco-difusão para testar qualquer um dos seguintes antibióticos contra S.pneumo?</t>
  </si>
  <si>
    <t>Ertapeneme</t>
  </si>
  <si>
    <t>Méropéneme</t>
  </si>
  <si>
    <t>Imipeneme</t>
  </si>
  <si>
    <t>Lorsque S. pneumoniae est isolé depuis du sang ou du liquide céphalorachidien, le laboratoire teste-t-il les antibiotiques suivants en utilisant une méthode de CMI?</t>
  </si>
  <si>
    <t>Quando S. pneumoniae é isolado a partir de sangue ou líquido cefalorradiano, o laboratório testa os seguintes antibióticos usando um método de MIC?</t>
  </si>
  <si>
    <t>Ceftriaxona e/ou Cefotaxima</t>
  </si>
  <si>
    <t xml:space="preserve">Quando o S. pneumoniae é isolado a partir de LCR,  a penicilina, ceftriaxona e / ou cefotaxima são relatadas usando apenas os pontos de corte de meningite? </t>
  </si>
  <si>
    <t xml:space="preserve">Quando S. pneumoniae é isolado a partir de outros espécimes que não seja LCR, a penicilina, ceftriaxona, e / ou cefotaxima são relatadas usando pontos de corte tanto de meningite como não-meningite? </t>
  </si>
  <si>
    <t>Os S. pneumoniae que são resistentes à eritromicina e sensíveis ou intermediários à clindamicina são testados para a resistência induzível à clindamicina?</t>
  </si>
  <si>
    <t xml:space="preserve">PROVA DE RESISTÊNCIA INDUZÍVEL A CLINDAMICINA </t>
  </si>
  <si>
    <t>La POS décrivant le test de RIC spécifie-t-elle que les disques d'érythromycine et de clindamycine doivent être espacés de 15 à 26 mm pour les souches de staphylocoques?</t>
  </si>
  <si>
    <t>la POS pour le test de RIC spécifie-t-elle que les disques d'érythromycine et de clindamycine doivent être placés à 12 mm de distance pour les espèces de streptocoques?</t>
  </si>
  <si>
    <t>Os registros indicam que o controle de qualidade para testes D-teste é feito em uma base semanal ou cada vez que o teste é realizado?</t>
  </si>
  <si>
    <t>Les enregistrements indiquent-ils que le laboratoire utilise des organismes de contrôle positifs et négatifs pour le contrôle qualité du test de RIC utilisé? (La souche positive RIC couramment utilisée est S. aureus ATCC BAA-977)</t>
  </si>
  <si>
    <t>Os registros indicam que laboratório usa ambos os organismos de controle positivo e negativo para CQ do teste D-teste em uso? (A cepa positiva mais utilizada para o D-Teste é S. aureus ATCC BAA-977)</t>
  </si>
  <si>
    <t>Lorsque le test de RIC est positif, le résultat de la clindamycine est-il modifié de sensible à résistant?</t>
  </si>
  <si>
    <t xml:space="preserve">Quando o D-Teste  é positivo, o resultado de clindamicina é alterado para resistente? </t>
  </si>
  <si>
    <t>RÈGLES D'EXPERT POUR LES LIQUIDES CEPHALORACHIDIENS (LCR)</t>
  </si>
  <si>
    <t>REGRAS DO ESPECIALISTA PARA O LÍQUIDO CEFALORRAQUIDIANO (LCR)</t>
  </si>
  <si>
    <t>Examinez le rapport de TSA d'un patient pour une culture de LCR positive. L'une des classes de médicaments suivantes at-elle été testée ou rapportée?</t>
  </si>
  <si>
    <t>Revise um resultado de TSA de paciente com uma cultura de LCR positiva. Algumas das seguintes classes de antibióticos foram testadas ou relatadas?</t>
  </si>
  <si>
    <t>(Les médicaments suivants ne sont pas des médicaments de première intention et peuvent ne pas être efficaces pour traiter les infections du LCR, quel que soit le résultat du TSA)</t>
  </si>
  <si>
    <t>(Os seguintes não são antibióticos de escolha e podem não ser eficazes  para o tratamento de infecções de LCR, independentemente do resultado do TSA)</t>
  </si>
  <si>
    <t>Cefalosporinas de 2ª geração(cefuroxima, cefonicida, cefamandol)</t>
  </si>
  <si>
    <t>Macrolídeos (eritromicina, azitromicina, claritromicina)</t>
  </si>
  <si>
    <t>Fluoroquinolonas (ciprofloxacina, levofloxacina, Moxifloxacina)</t>
  </si>
  <si>
    <t>13- POLITIQUE, ANALYSE ET PANELS DE TSA</t>
  </si>
  <si>
    <t>13- POLÍTICAS E ANÁLISES DE PAINÉIS DE TSA</t>
  </si>
  <si>
    <t>Atenção: todas as perguntas se referem apenas a isolados clínicos de pacientes, NÃO a isolados de pesquisa  ou  ambientais</t>
  </si>
  <si>
    <t>Existe-t-il une POS définissant clairement la combinaison standard d'antibiotiques ("panels d'antibiotiques") que le laboratoire testera pour chacun des agents pathogènes suivants? (Les documents CLSI et EUCAST ne sont pas des POS)</t>
  </si>
  <si>
    <t>Existe um POP que defina claramente a combinação padrão de antibióticos ( "painéis antibióticos") que laboratório vai testar contra cada um dos seguintes agentes patogénicos? (CLSI e EUCAST documentos não são POPs)</t>
  </si>
  <si>
    <t>Revise vários resultados de TSA para E.coli em amostra de pacientes. É a mesma combinação de antibióticos testados a cada vez?</t>
  </si>
  <si>
    <t>Urina</t>
  </si>
  <si>
    <t>Sangue</t>
  </si>
  <si>
    <t>RELATÓRIO ACUMULADO DE ANTIBIOGRAMA</t>
  </si>
  <si>
    <t>O laboratório produz um relatório acumulado de antibiograma pelo menos anualmente?</t>
  </si>
  <si>
    <t>Se não, responda às seguintes perguntas "NA"</t>
  </si>
  <si>
    <t>O laboratório tem um programa de software para produzir o antibiograma?</t>
  </si>
  <si>
    <t>Revise o antibiograma cumulativo mais recente. O mesmo cumpre as recomendações do CLSI M39?</t>
  </si>
  <si>
    <t>Affiche clairement les dates d'inclusion(par exemple 1er janvier, AAAA - 31 décembre, AAAA)</t>
  </si>
  <si>
    <t>Affiche clairement le nom de l'hôpital / établissement</t>
  </si>
  <si>
    <t xml:space="preserve">Exibe claramente o nome do hospital/centro </t>
  </si>
  <si>
    <t>Os dados são apresentados como % de S (não% R)</t>
  </si>
  <si>
    <t>Para cada organismo, o N total testado é exibido</t>
  </si>
  <si>
    <t>Présente des données uniquement pour les organismes / antibiotiquespour lesquels N = 30 isolats ou plus</t>
  </si>
  <si>
    <t>Apenas apresenta dados para organismos / antibióticos onde o total de N = 30 ou mais isolados</t>
  </si>
  <si>
    <t>Os isolados a partir de culturas ambientais e culturas de triagem (ex,, pesquisa de MRSA, pesquisa de VRE ) estão excluídos da análise?</t>
  </si>
  <si>
    <t>Le laboratoire est-il en mesure de dissocier les données, de sorte que seul le premier isolat d'une espèce donnée par patient et par période d'analyse soit inclus, quel que soit l'origine anatomique du prélèvementt?</t>
  </si>
  <si>
    <t>O laboratório é capaz de eliminar dados duplicados de isolados, de modo que apenas o primeiro isolado de uma dada espécie por paciente, por período de análise é incluído, independentemente do local do corpo de onde foi coletado?</t>
  </si>
  <si>
    <t>O laboratório é capaz de separar os dados de pacientes internados dos dados de pacientes ambulatoriais?</t>
  </si>
  <si>
    <t>Si le laboratoire reçoit des échantillons de plusieurs hôpitaux / installations, est-il possible de séparer les données par établissement de soin?</t>
  </si>
  <si>
    <t>Se o laboratório atende a vários hospitais/instalações, eles são capazes de separar os dados por Instalação?</t>
  </si>
  <si>
    <t>L’antibiogramme cumulatif est-il revu annuellement par un comité de gestion des antibiotiques ou un comité pharmaceutique / thérapeutique?</t>
  </si>
  <si>
    <t>O antibiograma cumulativo é revisto anualmente por um Comité de Manejo de Antibióticos (Stewardship)  ou por uma Comissão de Farmácia e Terapêutica?</t>
  </si>
  <si>
    <t>O antibiograma acumulado é distribuído a todos os médicos?</t>
  </si>
  <si>
    <t>POLITIQUE DUTSA</t>
  </si>
  <si>
    <t>POLÍTICA DE TSA</t>
  </si>
  <si>
    <t>La politique du laboratoire détermine-t-elle majoritairement sur quels isolats un TSA doit être effectué ou le TSA est-il effectué uniquement à la demande expresse du médecin?</t>
  </si>
  <si>
    <t>A política do laboratório determina principalmente quais os isolados que se deve  fazer TSA, ou o TSA somente é realizado quando for especificamente solicitado pelo médico?</t>
  </si>
  <si>
    <t>1: La politique du laboratoire détermine majoritairement sur quels isolats effectuer des TSA - 2: Les TSA sont effectués seulement à la demande du clinicien - 3: L'un et l'autre à parts égales</t>
  </si>
  <si>
    <t>1: A política do laboratório determina principalmente - 2: Apenas quando solicitado pelo médico - 3: Combinação igual de ambos</t>
  </si>
  <si>
    <t>La politique du laboratoire détermine-t-elle majoritairement quels antibiotiques doivent être testés et rapportés au clinicien ou le laboratoire ne teste et rapporte que les antibiotiques spécifiquement demandés par le médecin?</t>
  </si>
  <si>
    <t>A política do laboratório determina principalmente quais antibióticos se deve testar e notificar, ou o laboratório  somente testa e notifica os antibióticos específicos  solicitados pelo médico?</t>
  </si>
  <si>
    <t>1: La politique du laboratoire détermine les antibiotiques à tester - 2: Seuls les antibiotiques demandés par le médecin sont testés - 3: L'un et l'autre à parts égales</t>
  </si>
  <si>
    <t>1: A política do laboratório determina principalmente - 2: Somente os antibióticos solicitados pelo médico - 3: Combinação igual de ambos</t>
  </si>
  <si>
    <t>La "notification en cascade" est une stratégie de notification sélective des résultats de TSA dans laquelle les antibiotiques de seconde intention (spectre plus large, plus coûteux, par exemple) peuvent être supprimés ou exclus du rapport du patient si un organisme est sensible aux antibiotiques de première intention de la même classe de médicaments.</t>
  </si>
  <si>
    <t>O "Relatório em Cascata” é uma estratégia de notificação seletiva de resultados de TSA em que agentes secundários (Ex., amplo espectro, mais dispendioso) podem ser suprimidos ou excluídos do relatório do paciente se um organismo for sensível aos agentes primários dentro da mesma classe de medicamentos.</t>
  </si>
  <si>
    <t xml:space="preserve"> O laboratório pratica “Relatórios em cascata”?</t>
  </si>
  <si>
    <t>Avec les rapports en cascade, les résultats du TSA exclus du rapport du patient risquent également d'être exclus de la base de donnée du laboratoire ou du LIS. Cela peut conduire à une surveillance fortement biaisée de la RAM et à des statistiques cumulatives d'antibiogramme.</t>
  </si>
  <si>
    <t>Com os relatórios em cascata, há um risco de que os resultados de TSA  excluídos do relatório paciente possam também ser excluídos da base de dados principal ou SIL. Isso pode levar uma avaliação altamente tendenciosa  na vigilância de RAM e nas  estatísticas de antibiograma cumulativos.</t>
  </si>
  <si>
    <t>Si le laboratoire utilise les rapports en cascade, veille-t-il à ce que les résultats du TSA exclus du rapport du patient NE soient PAS exclus du SIL ou de tout autre base de donnée majeure?</t>
  </si>
  <si>
    <t>Se o laboratório realiza relatórios em cascata, o mesmo é feito de uma forma que garante que os resultados de TSA  excluídos do relatório paciente não são excluídos do LIS ou de outra base de dados principal?</t>
  </si>
  <si>
    <t>O hospital possui um Comitê de Manejo de antibióticos?</t>
  </si>
  <si>
    <t>Se o hospital possui um Comitê de Manejo de Antibióticos, algum membro é um microbiologista?</t>
  </si>
  <si>
    <t>L’hôpital a-t-il un comité de thérapeutique et produits pharmaceutiques?</t>
  </si>
  <si>
    <t>O hospital tem um Comitê de Farmácia de Terapêutica ?</t>
  </si>
  <si>
    <t>Se o hospital tem um Comitê de Farmácia de Terapêutica, algum membro é microbiologista?</t>
  </si>
  <si>
    <t>Est-ce que le comité de gestion des antibiotiques ou le comité thérapeutique et des produits pharmaceutiques de l'hôpital se réunit au moins une fois par an pour examiner les recommandations nationales et internationales relatives au panel de TSA, et modifie en conséquence le livret médical de l'hôpital et l'antibiogramme cumulatif?</t>
  </si>
  <si>
    <t>O Comitê de Manejo de Antibióticos (Stewardship) ou o Comitê de Farmácia e Terapêutica se reúne pelo menos anualmente para rever as recomendações do nacionais ou internacionais dos painéis de TSA e modificá-los com base no formulário do hospital e no antibiograma cumulativo?</t>
  </si>
  <si>
    <t>SAFETY</t>
  </si>
  <si>
    <t>Para ser completada caso não haja registro de outra auditoria de segurança nos últimos 12 meses. Isto não pretende ser uma auditoria de segurança abrangente.</t>
  </si>
  <si>
    <t>Há equipamentos padrões de segurança disponíveis e em uso no laboratório?</t>
  </si>
  <si>
    <t>Postes de Sécurité Microbiologique (classe IIA)</t>
  </si>
  <si>
    <t>Cabine de biossegurança (Classe IIA)</t>
  </si>
  <si>
    <t>Couvercles sur chaque nacelle de centrifugeuse</t>
  </si>
  <si>
    <t>Cobertura em cada caçapa da centrifuga</t>
  </si>
  <si>
    <t>Couvercle sur le rotor de la centrifugeuse</t>
  </si>
  <si>
    <t>Tampa sobre o rotor da centrifuga</t>
  </si>
  <si>
    <t>Lavabos pour le lavage des mains</t>
  </si>
  <si>
    <t>Estação de lavagem das mãos</t>
  </si>
  <si>
    <t>Douche oculaire</t>
  </si>
  <si>
    <t>Estação de lavagem dos olhos / garrafa</t>
  </si>
  <si>
    <t>Caixa de perfurocortantse</t>
  </si>
  <si>
    <t>Armoire de sécurité (pour stocker en toute sécurité des liquides inflammables, par exemple de l'éthanol)</t>
  </si>
  <si>
    <t>Armário de segurança para inflamáveis (para segurança de armazenamento de líquidos inflamáveis, por exemplo, etanol)</t>
  </si>
  <si>
    <t>Kit de derramamento</t>
  </si>
  <si>
    <t>Kit de primeiros socorros</t>
  </si>
  <si>
    <t>Standard: il incombe à la direction du laboratoire de s'assurer que le laboratoire est équipé d'un équipement de sécurité standard. La liste ci-dessus est une liste partielle des éléments nécessaires. Les PSM doivent être en place et utilisées et toutes les centrifugeuses doivent avoir des couvercles. Les stations de lavage des mains doivent être désignées et équipées et les stations de lavage des yeux (ou une toute autre méthode acceptable de nettoyage des yeux) doivent être disponibles et fonctionnelles. Les trousses en cas de déversement et les trousses de premiers soins doivent être conservées dans un endroit désigné et contrôlées régulièrement.</t>
  </si>
  <si>
    <t>Norma: É de responsabilidade da administração laboratório garantir que o laboratório esteja equipado com equipamentos de segurança padrão. A lista acima é uma lista parcial de itens necessários. Cabines de Biossegurança deve estar no lugar e em uso e todas as centrífugas devem ter tampas. Estações de lavagem das mãos devem ser designadas e equipadas e as estações de  lavagem de olhos (ou um método alternativo aceitável de limpeza de olho) deve estar disponível e operável.Kits de derramamento e kits de primeiros socorros devem ser mantidos em um local designado e verificados regularmente para a prontidão.</t>
  </si>
  <si>
    <t>Norma ISO 15189: 5.2.10 Todas as seringas, agulhas, lancetas, ou outros dispositivos de sangria capazes de transmitir a infecção devem ser usados apenas uma vez e descartados em recipientes perfurocortantes que não devem estar  sobrecarregadas. Os recipientes  de agulhas devem ser claramente marcados para advertir do risco potencial e devem estar localizados em áreas onde objetos perfurocortantes sejam comumente usados.</t>
  </si>
  <si>
    <t>Est-ce que toutes lesPSM  ont été recertifiées il y a moins d'un an?</t>
  </si>
  <si>
    <t xml:space="preserve">Todas as cabines de biossegurança foram recertificadas dentro de um ano da data de hoje? </t>
  </si>
  <si>
    <t>Norme: une PSM doit être utilisée pour prévenir l'exposition des aérosols à des échantillons ou organismes contagieux. Pour un fonctionnement correct et une protection totale, les PSM nécessitent un entretien périodique et doivent être entretenues en conséquence.</t>
  </si>
  <si>
    <t>Norma: Uma cabine de segurança biológica deve ser utilizada para evitar a exposição ao aerossol para espécimes ou organismos contagiosos. Para o funcionamento adequado e uma proteção completa, cabines de biossegurança requerem manutenção periódica e devem receber serviço de acordo com as especificações.</t>
  </si>
  <si>
    <t>Est-ce que tout l'équipement de protection individuelle (EPI) nécessaire pour un BSL2 est disponible?</t>
  </si>
  <si>
    <t>Todos os equipamentos de proteção individual necessários (EPI) estão disponíveis para trabalhar em um BSL2?</t>
  </si>
  <si>
    <t>Jalecos</t>
  </si>
  <si>
    <t>Luvas</t>
  </si>
  <si>
    <t>Lunettes de protection</t>
  </si>
  <si>
    <t>Óculos</t>
  </si>
  <si>
    <t>Protetor Facial contra Aerossol (máscara, protetor facial, ou protetor contra salpicos)</t>
  </si>
  <si>
    <t>A política laboratório requer que o pessoal microbiologia use sapatos fechados?</t>
  </si>
  <si>
    <t>O pessoal do laboratório utiliza os EPIs de forma adequada e consistente ? (Observar)</t>
  </si>
  <si>
    <t>Norme: La direction est tenue de fournir un équipement de protection individuelle approprié - gants, sarraus de laboratoire, lunettes de protection, visières, etc. - en état de fonctionnement. Le personnel de laboratoire doit utiliser à tout moment un équipement de protection individuelle. Les vêtements de protection ne doivent pas être portés à l'extérieur du laboratoire. Les gants doivent être remplacés immédiatement lorsqu'ils sont déchirés ou contaminés etne doivent jamais être lavés afin d'être réutilisés</t>
  </si>
  <si>
    <t>Norma: A administração é responsável para fornecer equipamento de proteção individual adequado - luvas, jalecos, óculos de proteção, protetores, etc. - em estado utilizável. O pessoal de laboratório deve utilizar equipamentos de proteção individual no laboratório em todos os momentos. Jalecos  não devem ser usados fora do laboratório. As luvas devem ser substituídos imediatamente, quando rasgada ou contaminadas e não lavadas para reutilização</t>
  </si>
  <si>
    <t>A política do laboratório proíbe de comer, beber e fumar no laboratório?</t>
  </si>
  <si>
    <t>Observe as geladeiras e freezers onde os meios e os reagentes são armazenados. São eles:</t>
  </si>
  <si>
    <t>Designado especificamente para o armazenamento de meios/reagentes?</t>
  </si>
  <si>
    <t>Livre de alimentos do pessoal?</t>
  </si>
  <si>
    <t>Livre de amostras de pacientes?</t>
  </si>
  <si>
    <t>Bien organisés et sans encombrement?</t>
  </si>
  <si>
    <t>Bem organizado e ordenados?</t>
  </si>
  <si>
    <t>Tous les produits chimiques dangereux sont-ils entreposés correctement (acides séparés des bases; produits inflammables dans une armoire ignifugée)?</t>
  </si>
  <si>
    <t>Todos os produtos químicos perigosos são armazenados de forma adequada (ácidos separados das bases ; inflamáveis ​​em um armário de segurança)?</t>
  </si>
  <si>
    <t xml:space="preserve">A desinfecção da área de trabalho é (bancada e capela) é documentado a diariamente? </t>
  </si>
  <si>
    <t>Norme: ISO 15189: 5.2.10 La propreté et l'absence de fuites dans la zone de travail doivent être régulièrement inspectées. Un désinfectant approprié doit être utilisé. Au minimum, tous les plans de travail et les surfaces de travail doivent être désinfectés au début et à la fin de chaque prise de poste du personnel. Tous les déversements doivent être contenus immédiatement et les surfaces de travail désinfectées.</t>
  </si>
  <si>
    <t>Norma: ISO 15189: 5.2.10 A área de trabalho deve ser inspecionada regularmente para a limpeza e vazamento. Um desinfetante apropriado deve ser usado. No mínimo, todas as bancadas e superfícies de trabalho devem ser desinfectadas no início e no final de cada turno. Todos os derramamentos devem ser contidos imediatamente e as superfícies de trabalho desinfectadas</t>
  </si>
  <si>
    <t xml:space="preserve">DOCUMENTAÇÃO E TREINAMENTO EM BIOSSEGURANÇA </t>
  </si>
  <si>
    <t>Existe um manual de segurança / biossegurança disponível no laboratório e facilmente acessível a todos os funcionários?</t>
  </si>
  <si>
    <t>Existe um módulo de treinamento em segurança / biossegurança disponível no laboratório?</t>
  </si>
  <si>
    <t>Existe-t-il des documents démontrant qu'un cours de maintien des compétences annuel sur la sécurité / biosécurité est organisé pour tout le personnel manipulant des échantillons, des isolats ou des produits chimiques?</t>
  </si>
  <si>
    <t>Existe documentação que demonstre que um treinamento anual de reciclagem em segurança / biossegurança foi realizado para todos os funcionários manuseiem as amostras, isolados, ou produtos químicos?</t>
  </si>
  <si>
    <t>Existe documentação que demonstre  que investigações de acidentes / incidentes são realizadas sistematicamente?</t>
  </si>
  <si>
    <t>As avaliações de risco são realizadas anualmente e cada vez que uma nova análise / tecnologia / equipamento é introduzido?</t>
  </si>
  <si>
    <t>4-Portuguese</t>
  </si>
  <si>
    <t>4-8*</t>
  </si>
  <si>
    <t>I / S-DD*</t>
  </si>
  <si>
    <t>*S-DD = Susceptible, but dose-dependent</t>
  </si>
  <si>
    <t>CLSI 2020</t>
  </si>
  <si>
    <t>EUCAST 2020</t>
  </si>
  <si>
    <t>Enterobacterales</t>
  </si>
  <si>
    <t>Example: If altitude is 61.49 meters, enter 61</t>
  </si>
  <si>
    <t>For altitude, enter meters without digits.                                                   Altitude</t>
  </si>
  <si>
    <t>For latitude, enter digital degrees with 5 digits after the comma.           Latitude</t>
  </si>
  <si>
    <t>For longitude, enter digital degrees with 5 digits after the comma.    Longitude</t>
  </si>
  <si>
    <t>Pour l'altitude, entrez des mètres sans chiffres après la virgule.</t>
  </si>
  <si>
    <t xml:space="preserve">Pour la latitude, entrez 5 degrés numériques après la virgule. </t>
  </si>
  <si>
    <t>Para la altitud, introduzca metros sin cifras.</t>
  </si>
  <si>
    <t>Para la latitud, introduzca coordenadas decimales con 5 cifras después de la coma.</t>
  </si>
  <si>
    <t>Para la longitud, introduzca coordenadas decimales con 5 cifras después de la coma.</t>
  </si>
  <si>
    <t>Para altitude, Insira metros sem dígitos.</t>
  </si>
  <si>
    <t>Para latitude, Insira coordenadas decimais com 5 dígitos após a vírgula.</t>
  </si>
  <si>
    <t>Example: 41,40338</t>
  </si>
  <si>
    <t>Example: -2,17403</t>
  </si>
  <si>
    <t>Pour la longitude, entrez 5 degrés numériques après la virgule.</t>
  </si>
  <si>
    <t>Para longitude, Insira coordenadas decimais com 5 dígitos após a vírgula.</t>
  </si>
  <si>
    <t>Select the number of the desired language in cell A3: 1- English, 2- French, 3- Spanish, 4-Portuguese, 5-Other</t>
  </si>
  <si>
    <t>In Use?</t>
  </si>
  <si>
    <t>PCR IN PLACE</t>
  </si>
  <si>
    <t>SLIPTA</t>
  </si>
  <si>
    <t>WHO LQSI</t>
  </si>
  <si>
    <t>Other Program</t>
  </si>
  <si>
    <t>Total number of staff members</t>
  </si>
  <si>
    <t>Up to 6 photographs may be inserted.</t>
  </si>
  <si>
    <t>Obtain permission before taking photos, and avoid capturing any patient identifiers</t>
  </si>
  <si>
    <t>Before inserting photos, resize them to less than 500KB/2MP (size “Medium”) in order to keep the final Excel file size small</t>
  </si>
  <si>
    <t>Use the embedded MS Word file to summarize the main findings and recommendations in narrative format.</t>
  </si>
  <si>
    <t>To enter findings, double click inside the box below.</t>
  </si>
  <si>
    <t>To exit and save, click anywhere in the Excel grid.</t>
  </si>
  <si>
    <t>Response</t>
  </si>
  <si>
    <t>Has calibration been performed within the last year?</t>
  </si>
  <si>
    <t>Indiquez si le laboratoire dispose des équipements FONCTIONNELS suivants.</t>
  </si>
  <si>
    <t>Indicar se o laboratório tem as seguintes peças de equipamentos FUNCIONAIS</t>
  </si>
  <si>
    <t>Indique si el laboratorio cuenta con los siguientes equipos FUNCIONALES</t>
  </si>
  <si>
    <t>L'étalonnage a-t-il été effectuée au cours de la dernière année?</t>
  </si>
  <si>
    <t>¿Se ha calibrado en el último año?</t>
  </si>
  <si>
    <t>Há registros de calibração no último ano?</t>
  </si>
  <si>
    <t>More than one may be used. If the lab does not currently participate in AMR surveillance, select NA</t>
  </si>
  <si>
    <t>Since the bench aids and SOPs are used by technologists for AST interpretation, it is crucial that these are up to date as well.</t>
  </si>
  <si>
    <t>Even if a laboratory has current CLSI or EUCAST manuals, they may have failed to update their bench aids and SOPs to reflect current breakpoints.</t>
  </si>
  <si>
    <t>IMPORTANT! Please read the information below before proceeding:</t>
  </si>
  <si>
    <t xml:space="preserve">The Assessor’s Guide shows the current breakpoints for these antibiotics. Compare this table to the bench aids and SOPs the technologists use for zone size and MIC interpretation. </t>
  </si>
  <si>
    <t>A Guia do Assessor mostra os pontos de cortes atuais para estes antibióticos. Compare esta tabela com as instruções de bancada e POPs que os técnicos utilizam para a interpretação os halos de inibição e MICs.</t>
  </si>
  <si>
    <t>Do the bench aids and SOPs have the current breakpoints for the following combinations?</t>
  </si>
  <si>
    <t>Agar dilution (Colistin Agar Test)</t>
  </si>
  <si>
    <t>Do laboratory staff understand the current limitations associated with colistin AST? (i.e., the risk of false susceptible results when using disk diffusion, gradient strip, or automated methods.)</t>
  </si>
  <si>
    <t>Le personnel de laboratoire comprend-il les limites actuelles associées au TSA de la colistine? (c'est-à-dire, le risque de résultats faussement sensibles lors de l'utilisation diffusion en disque, bandelette graduées, ou instrument automatisé.)</t>
  </si>
  <si>
    <t>¿Comprende el personal del laboratorio las limitaciones actuales en PSA asociadas con la colistina? (es decir, el riesgo de resultados falsamente sensibles cuando se utiliza difusión con discos, tira de gradiente o Instrumento automatizado.)</t>
  </si>
  <si>
    <t>O pessoal de laboratório compreende as limitações atuais do TSA associados com a colistina? (Ou seja, o risco de resultados falsamente sensíveis ao usar Disco-difusão, tiras de gradiente, ou instrumento automatizado.)</t>
  </si>
  <si>
    <t>&lt;24</t>
  </si>
  <si>
    <r>
      <t xml:space="preserve">Review the blood culture specimen collection instructions. Does it address the following items? </t>
    </r>
    <r>
      <rPr>
        <sz val="10"/>
        <color rgb="FFFF0000"/>
        <rFont val="Calibri"/>
        <family val="2"/>
        <scheme val="minor"/>
      </rPr>
      <t>(If specimen collection instructions do not exist or are not available to review, answer "No" to each.)</t>
    </r>
  </si>
  <si>
    <t>Do laboratory staff understand the current limitations associated with colistin AST? (i.e., the risk of false susceptible results when using disk diffusion, gradient strip, or automated method?)</t>
  </si>
  <si>
    <r>
      <t xml:space="preserve">Does the SOP clearly define how to modify the standard antibiotic panels described above based upon the body site of infection? </t>
    </r>
    <r>
      <rPr>
        <sz val="10"/>
        <color rgb="FFFF0000"/>
        <rFont val="Calibri"/>
        <family val="2"/>
        <scheme val="minor"/>
      </rPr>
      <t>ONLY select NA if the laboratory does not perform testing on the body site listed.</t>
    </r>
  </si>
  <si>
    <t>SF24</t>
  </si>
  <si>
    <t>Name of LIS:</t>
  </si>
  <si>
    <t>Does the laboratory perform blood cultures?</t>
  </si>
  <si>
    <t>Does the laboratory perform urine cultures?</t>
  </si>
  <si>
    <t>Does the laboratory perform stool cultures?</t>
  </si>
  <si>
    <t>Is this reagent used to test patient isolates? (If No, select N/A for the remaining questions about this reagent)</t>
  </si>
  <si>
    <r>
      <t>Catalase (H</t>
    </r>
    <r>
      <rPr>
        <vertAlign val="subscript"/>
        <sz val="10"/>
        <color theme="1"/>
        <rFont val="Calibri"/>
        <family val="2"/>
        <scheme val="minor"/>
      </rPr>
      <t>2</t>
    </r>
    <r>
      <rPr>
        <sz val="10"/>
        <color theme="1"/>
        <rFont val="Calibri"/>
        <family val="2"/>
        <scheme val="minor"/>
      </rPr>
      <t>O</t>
    </r>
    <r>
      <rPr>
        <vertAlign val="subscript"/>
        <sz val="10"/>
        <color theme="1"/>
        <rFont val="Calibri"/>
        <family val="2"/>
        <scheme val="minor"/>
      </rPr>
      <t>2</t>
    </r>
    <r>
      <rPr>
        <sz val="10"/>
        <color theme="1"/>
        <rFont val="Calibri"/>
        <family val="2"/>
        <scheme val="minor"/>
      </rPr>
      <t>)</t>
    </r>
  </si>
  <si>
    <r>
      <t>Catalasa (H</t>
    </r>
    <r>
      <rPr>
        <vertAlign val="subscript"/>
        <sz val="10"/>
        <color theme="1"/>
        <rFont val="Calibri"/>
        <family val="2"/>
        <scheme val="minor"/>
      </rPr>
      <t>2</t>
    </r>
    <r>
      <rPr>
        <sz val="10"/>
        <color theme="1"/>
        <rFont val="Calibri"/>
        <family val="2"/>
        <scheme val="minor"/>
      </rPr>
      <t>O</t>
    </r>
    <r>
      <rPr>
        <vertAlign val="subscript"/>
        <sz val="10"/>
        <color theme="1"/>
        <rFont val="Calibri"/>
        <family val="2"/>
        <scheme val="minor"/>
      </rPr>
      <t>2</t>
    </r>
    <r>
      <rPr>
        <sz val="10"/>
        <color theme="1"/>
        <rFont val="Calibri"/>
        <family val="2"/>
        <scheme val="minor"/>
      </rPr>
      <t>)</t>
    </r>
  </si>
  <si>
    <t>(Enterobacteriaceae FQ breakpoints should not be used for Salmonella spp).</t>
  </si>
  <si>
    <t>(Les seuils des Enterobacteriaceae ne doivent pas être utilisés pour Salmonella spp).</t>
  </si>
  <si>
    <t>(Los puntos de corte de FQ para  Enterobacteriaceae no deben usarse para Salmonella spp).</t>
  </si>
  <si>
    <t>(Pontos de corte de FQ para Enterobacteriaceae não devem ser utilizados para Salmonella spp).</t>
  </si>
  <si>
    <t xml:space="preserve">Compare the lab’s AST bench aids and SOPs to the Salmonella table in the Assessor’s Guide. Does the lab use the correct fluoroquinolone (FQ) breakpoints for Salmonella spp? </t>
  </si>
  <si>
    <t xml:space="preserve">Comparez les aides mémoires et POS du laboratoire pour les TSA avec le tableau "Salmonella" dans le Guide de l’évaluateur. Le laboratoire utilise-t-il les seuils corrects pour les fluoroquinolones (FQ) pour Salmonella spp? </t>
  </si>
  <si>
    <t xml:space="preserve">Compare os POPs e as instruções de bancada sobre TSA do laboratório com a tabela "Salmonella" no Guia do Assessor. O laboratório utiliza pontos de corte corretos de fluoroquinolona (FQ) para Salmonella spp? </t>
  </si>
  <si>
    <t>Note: Select NA for the question above if the lab does NOT use current cephalosporin and aztreonam breakpoints</t>
  </si>
  <si>
    <t>Remarque: sélectionnez NA pour la question ci-dessus si le laboratoire N'UTILISE PAS les seuils actuels des céphalosporine et de l'aztréonam.</t>
  </si>
  <si>
    <t>Nota: Selecione NA para a pergunta acima se o laboratório NÃO utiliza pontos de cortes atualizados de cefalosporina e aztreonam</t>
  </si>
  <si>
    <t>Nota: Seleccione NA para la pregunta anterior si el laboratorio NO utiliza los puntos de corte actuales de cefalosporina y aztreonam</t>
  </si>
  <si>
    <t>Exemplo: se a altitude for 61,49 metros, digite 61</t>
  </si>
  <si>
    <t>Ejemplo: si la altitud es de 61.49 metros, ingrese 61</t>
  </si>
  <si>
    <t>Exemple: si l'altitude est de 61,49 mètres, entrez 61</t>
  </si>
  <si>
    <t>Exemplo: 41,40338</t>
  </si>
  <si>
    <t>Ejemplo: 41,40338</t>
  </si>
  <si>
    <t>Exemple: 41,40338</t>
  </si>
  <si>
    <t>Exemplo: -2,17403</t>
  </si>
  <si>
    <t>Ejemplo: -2,17403</t>
  </si>
  <si>
    <t>Exemple: -2,17403</t>
  </si>
  <si>
    <t>Le laboratoire effectue-t-il des hémocultures?</t>
  </si>
  <si>
    <t>¿El laboratorio realiza hemocultivos?</t>
  </si>
  <si>
    <t>O laboratório realiza hemoculturas?</t>
  </si>
  <si>
    <t>¿El laboratorio realiza urocultivos?</t>
  </si>
  <si>
    <t>O laboratório realiza uroculturas?</t>
  </si>
  <si>
    <t>CULTURE D'URINE</t>
  </si>
  <si>
    <t>Le laboratoire effectue-t-il des urocultures?</t>
  </si>
  <si>
    <t>Le laboratoire a-t-il une POS décrivant la réalisation de culture des urines? (demandez à voir)</t>
  </si>
  <si>
    <t>Le laboratoire effectue-t-il des coproculture?</t>
  </si>
  <si>
    <t>¿El laboratorio realiza coprocultivo?</t>
  </si>
  <si>
    <t>O laboratório realiza coproculturas?</t>
  </si>
  <si>
    <t>IMPORTANT! Veuillez lire les informations ci-dessous avant de continuer:</t>
  </si>
  <si>
    <t>Resposta</t>
  </si>
  <si>
    <t>Respuesta</t>
  </si>
  <si>
    <t>Réponse</t>
  </si>
  <si>
    <t>Déclencheur</t>
  </si>
  <si>
    <t>Desencadenar</t>
  </si>
  <si>
    <t>Desencadear</t>
  </si>
  <si>
    <t>Módulo</t>
  </si>
  <si>
    <t>Questão</t>
  </si>
  <si>
    <t>Pregunta</t>
  </si>
  <si>
    <t>Obtenga permiso antes de tomar fotos y evite capturar identificadores de pacientes</t>
  </si>
  <si>
    <t>Jusqu'à 6 photographies peuvent être insérées.</t>
  </si>
  <si>
    <t>Se pueden insertar hasta 6 fotografías.</t>
  </si>
  <si>
    <t>Podem ser inseridas até 6 fotografias.</t>
  </si>
  <si>
    <t>Antes de insertar fotos, redimensionelas a menos de 500 KB / 2MP (tamaño "Medio") para mantener pequeño el tamaño final del archivo Excel</t>
  </si>
  <si>
    <t>Pour quitter et enregistrer, cliquez n'importe où dans la grille Excel.</t>
  </si>
  <si>
    <t>Para salir y guardar, haga clic en cualquier lugar de la cuadrícula de Excel.</t>
  </si>
  <si>
    <t>Para sair e salvar, clique em qualquer lugar da grade do Excel.</t>
  </si>
  <si>
    <t>Utilice el archivo MS Word incorporado para resumir los principales hallazgos y recomendaciones en formato narrativo.</t>
  </si>
  <si>
    <t>Puntuación POE</t>
  </si>
  <si>
    <t>Puntuación CC</t>
  </si>
  <si>
    <t>Score CQ</t>
  </si>
  <si>
    <t>Em uso?</t>
  </si>
  <si>
    <t>¿En uso?</t>
  </si>
  <si>
    <t>Utilisé?</t>
  </si>
  <si>
    <t>Nombre total de membres du personnel</t>
  </si>
  <si>
    <t>LAARC</t>
  </si>
  <si>
    <t>Developed by CDC in collaboration with IQLS</t>
  </si>
  <si>
    <t>Desenvolvido pelo CDC em colaboração com o IQLS</t>
  </si>
  <si>
    <t>Développé par CDC en collaboration avec IQLS</t>
  </si>
  <si>
    <t>Score SOP</t>
  </si>
  <si>
    <t>Utilisez le fichier MS Word intégré pour résumer et rédiger les principales conclusions et recommandations</t>
  </si>
  <si>
    <t>Pour saisir les résultats, double-cliquez le cadre ci-dessous.</t>
  </si>
  <si>
    <t>Avant d'insérer des photos, redimensionnez-les à moins de 500 Ko / 2 MP (taille « moyenne ») afin de conserver la taille finale du fichier Excel petite</t>
  </si>
  <si>
    <t>Obtenez l'autorisation avant de prendre des photos et évitez de photographier les identifiants des patients</t>
  </si>
  <si>
    <t>Passez en revue les instructions de prélèvement des échantillons de sang. Cela comprend-t-il les éléments suivants? (Si les instructions de prélèvement d'échantillons n'existent pas ou ne sont pas disponibles pour examen, répondez «Non» à chaque question.)</t>
  </si>
  <si>
    <t>Le Guide de l'évaluateur indique les seuils actuels pour ces antibiotiques. Comparez ce tableau aux aides mémoire et aux PONs utilisées par les technologistes pour interpréter la taille de la zone et l'interprétation de la CIM.</t>
  </si>
  <si>
    <t>Même si un laboratoire possède des manuels CLSI ou EUCAST à jour, il se peut qu'ils n'aient pas mis à jour leurs aide-mémoire et SOP pour refléter les seuils actuels.</t>
  </si>
  <si>
    <t>Puisque les aides-mémoire et les SOP sont utilisés par les techniciens pour l'interprétation des antibiogrammes il est essentiel qu'ils soient également à jour.</t>
  </si>
  <si>
    <t>Les aides-mémoire et les SOP comprennent-ils les seuils actuels pour les combinaisons suivantes?</t>
  </si>
  <si>
    <t>La SOP définit-elle clairement comment modifier les panels d'antibiotiques standard décrits ci-dessus en fonction de la localisation anatomique de l'infection? Sélectionnez UNIQUEMENT NA si le laboratoire n'effectue pas de test sur le type de prélèvement indiqué.</t>
  </si>
  <si>
    <t>Capacidade de Detectar a</t>
  </si>
  <si>
    <t>Figura para utilizar no  Módulo de " Instalações", pergunta 1.13</t>
  </si>
  <si>
    <t>LISTA DE TESTES DO LABORATORIAIS E CARGA DE TRABALHO ANUAL DE CULTURAS</t>
  </si>
  <si>
    <t>Culturas respiratórias (não-TB)</t>
  </si>
  <si>
    <t>Culturas de Fluidos Corporais Estéreis</t>
  </si>
  <si>
    <t>Culturas de Anaeróbios</t>
  </si>
  <si>
    <t>Culturas de Fungos (Leveduras)</t>
  </si>
  <si>
    <t>Culturas de Fungos (Mofo)</t>
  </si>
  <si>
    <t>Número total de membros da equipe</t>
  </si>
  <si>
    <t>CAMPOS PARA DADOS DE OBSERVAÇÃO DAS CULTURAS</t>
  </si>
  <si>
    <t>ESTRUTURA DE QUALIDADE / BÁSICO</t>
  </si>
  <si>
    <t>STAPHYLOCOCCUS AUREUS, PRINCIPAIS MÉTODOS DE IDENTIFICAÇÃO</t>
  </si>
  <si>
    <t>Pontuação CQ</t>
  </si>
  <si>
    <t>Pontuação POP</t>
  </si>
  <si>
    <t>Equipamentos para a Preparação de Meios</t>
  </si>
  <si>
    <t>Instrumento MALDI para a identificação de organismos</t>
  </si>
  <si>
    <t>Use o arquivo em anexo do MS Word para resumir as principais conclusões e recomendações em formato narrativo.</t>
  </si>
  <si>
    <t>Para inserir resultados, clique duas vezes dentro da caixa abaixo.</t>
  </si>
  <si>
    <t>Antes de inserir fotos, redimensione-as para menos de 500 KB / 2MP (tamanho "Médio") para manter o arquivo final do do Excel em tamanho pequeno</t>
  </si>
  <si>
    <t>Obtenha permissão antes de tirar fotos e evite capturar quaisquer identificadores de paciente</t>
  </si>
  <si>
    <t>Cientista do Laboratório</t>
  </si>
  <si>
    <t>4. Distrital</t>
  </si>
  <si>
    <t>Atenção: todas as questões referem-se apenas a amostras clínicas de pacientes, NÃO para amostras ambientais ou de pesquisa</t>
  </si>
  <si>
    <t xml:space="preserve">LISTA DE TESTES LABORATORIAIS e CARGA DE TRABALHO </t>
  </si>
  <si>
    <t>Culturas de Fungos (mofo)</t>
  </si>
  <si>
    <t xml:space="preserve">Quais métodos automatizados de TSA estão em uso? </t>
  </si>
  <si>
    <t>Quem atribuiu a acreditação mais recente? (Revisar o certificado de acreditação e escrever o nome do órgão acreditador nos comentários)</t>
  </si>
  <si>
    <t>Norma: ISO 15189: 5.2.5 e 5.2.10 O espaço do laboratório deve ser suficiente para garantir que a qualidade do trabalho, a segurança do pessoal, bem como a capacidade do pessoal para realizar procedimentos e a documentação do controle de qualidade. O laboratório deve estar limpo e bem organizado, livre da desordem, bem ventilado, adequadamente iluminado, e dentro dos intervalos de temperatura aceitáveis. Energia de emergência deve estar disponível para instrumentos sensíveis, armazenamento com temperatura controlada, e outros equipamentos essenciais para prevenir danos e interrupções devido a flutuações e cortes inesperados de energia. Os instrumentos sensíveis devem ser equipados com controles de sobrecarga. Água destilada e deionizada deve estar disponível, se necessário.</t>
  </si>
  <si>
    <t>Existem registros de manutenção preventiva (fornecedor)?</t>
  </si>
  <si>
    <t xml:space="preserve">Nos últimos 6 meses, o laboratório evidenciou ruptura de estoque de outros materiais-chave? </t>
  </si>
  <si>
    <t>Norma: Os serviços de análise não devem estar sujeitos a interrupção devido a rupturas de estoque. Os laboratórios devem explorar todas as opções enquanto maneja o problema como pedir emprestado estoque de outro laboratório ou referenciar amostras para outro laboratório.</t>
  </si>
  <si>
    <t>Norma: Todos os reagentes e kits de teste em uso, bem como aqueles em estoque, devem estar dentro das datas de validade atribuídas pelo fabricante. Estoque expirado não deve ser utilizado e deve ser documentado antes do descarte.</t>
  </si>
  <si>
    <t>CAMPOS PARA DADOS DAS PROVAS DE TSA</t>
  </si>
  <si>
    <t>Origem da Amostra/ Àrea do corpo  (Ex. Braço)</t>
  </si>
  <si>
    <t>Quantas vezes por ano o laboratório recebe atualmente  painéis AEQ/TP  que incluem tanto a identificação de bactérias como TSA? (Por favor, não incluir AEQ/PT focados um único organismo, Ex. TB ou N. gonorrhoeae)</t>
  </si>
  <si>
    <t>O fornecedor de AEQ/PT  é acreditado com ISO-17043?</t>
  </si>
  <si>
    <t>Reveja as instruções de coleta de amostras para hemoculturas. Abordam os seguintes itens? (Se as instruções de coleta de amostras não existirem ou não estiverem disponíveis para revisão, responda "Não" para cada uma.)</t>
  </si>
  <si>
    <t>Atenção: todas as questões referem-se apenas a amostras clínicas de pacientes, NÃO a amostras de pesquisa ou  ambientais</t>
  </si>
  <si>
    <t>De acordo com o POP, que meios são utilizados para a cultura primária de urina?</t>
  </si>
  <si>
    <t>IMPORTANTE! Por favor, leia a informação abaixo antes de continuar:</t>
  </si>
  <si>
    <t>Mesmo que um laboratório possua manuais atuais do CLSI ou do EUCAST, eles podem ter falhado em atualizar suas instruções de  bancada e POPs para refletir os pontos de corte atuais.</t>
  </si>
  <si>
    <t>Considerando que as instruções de bancada e os POPs são usados ​​pelos técnicos para a interpretação do TSA, é crucial que eles também estejam atualizados.</t>
  </si>
  <si>
    <t>As instruções de bancada e os POPs têm os pontos de corte atuais para as seguintes combinações?</t>
  </si>
  <si>
    <t>Diluição de ágar (Teste da Colistina em Ágar)</t>
  </si>
  <si>
    <r>
      <t xml:space="preserve">Os registros indicam que o laboratório utiliza organismos apropriados para controlar o teste de colistina em uso? (P.aeruginosa 27853 </t>
    </r>
    <r>
      <rPr>
        <b/>
        <sz val="10"/>
        <color theme="1"/>
        <rFont val="Calibri"/>
        <family val="2"/>
        <scheme val="minor"/>
      </rPr>
      <t>E</t>
    </r>
    <r>
      <rPr>
        <sz val="10"/>
        <color theme="1"/>
        <rFont val="Calibri"/>
        <family val="2"/>
        <scheme val="minor"/>
      </rPr>
      <t xml:space="preserve"> E. coli NCTC 13846 ou E.coli AR Bank # 0349.)</t>
    </r>
  </si>
  <si>
    <t>Existe até 4 discos por placa de 100 milímetros ou 9 discos por placa de 150 mm?</t>
  </si>
  <si>
    <t>O POP define claramente como modificar os painéis padronizados de antibióticos  descritos acima com base no local que esteja a infecção? 
SOMENTE selecione NA se o laboratório não realizar testes o local  de infecção  listada.</t>
  </si>
  <si>
    <t>Exibe claramente o intervalo de datas (por exemplo, 01 de Janeiro, A - 31 Dezembro,)</t>
  </si>
  <si>
    <t>Desarrollado por el CDC en colaboración con IQLS</t>
  </si>
  <si>
    <t>Número total de empleados</t>
  </si>
  <si>
    <t>Para introducir los resultados, haga doble clic dentro del cuadro situado a continuación.</t>
  </si>
  <si>
    <r>
      <t>¿Se escriben en un POE o en un documento de ayuda de poyata</t>
    </r>
    <r>
      <rPr>
        <sz val="10"/>
        <color rgb="FFFF0000"/>
        <rFont val="Calibri"/>
        <family val="2"/>
        <scheme val="minor"/>
      </rPr>
      <t xml:space="preserve"> </t>
    </r>
    <r>
      <rPr>
        <sz val="10"/>
        <color rgb="FF000000"/>
        <rFont val="Calibri"/>
        <family val="2"/>
        <scheme val="minor"/>
      </rPr>
      <t>los criterios de rechazo para cada tipo de muestra ?</t>
    </r>
  </si>
  <si>
    <t>Revise las instrucciones de toma de muestras para hemocultivos. ¿Aborda los siguientes elementos? (Si las instrucciones de toma de muestras no existen o no están disponibles para revisar, responda "No" en cada una).</t>
  </si>
  <si>
    <t>¿Se indica en el POE o en el documento de ayuda de poyata que los halos de inhibición y / o los valores de CMI para el cotrimoxazol (SXT) se miden con una inhibición del crecimiento del 80%, en lugar del 100%?</t>
  </si>
  <si>
    <t>¿Se indica en el POE o en el documento de ayuda de poyata cómo medir los halos de inhibición y / o los valores de CMI cuando haya sobrecrecmiento (swarming) por especies de Proteus?</t>
  </si>
  <si>
    <t>¿Proporcionan los POEs o documentos de ayuda de poyata sobre PSA ejemplos de patrones de resistencia intrínseca? (Como las que se encuentran en el Apéndice B de CLSI M100 o las Reglas de experto de EUCAST V3.1)</t>
  </si>
  <si>
    <t>¿Definen los POEs o documentos de ayuda de poyata sobre PSA ejemplos de resultados inusuales o inesperados en las PSA? (Como las que se encuentran en el Apéndice A de CLSI M100 o las Reglas de experto de EUCAST V3.1)</t>
  </si>
  <si>
    <t>¿Describen los POEs o documentos de ayuda de poyata sobre PSA qué acciones tomar cuando se encuentran resultados inusuales o inesperados en las PSA (por ejemplo, verificar la pureza, reconfirmar la identificación del organismo, verificar el CC relevante, repetir las pruebas, notificar al supervisor)?</t>
  </si>
  <si>
    <t xml:space="preserve">Compare los POEs y documentos de ayuda de poyata sobre PSA con la tabla "Salmonella" en la Guía del asesor. ¿Utiliza el laboratorio los puntos de corte correctos de fluoroquinolona (FQ) para Salmonella spp? </t>
  </si>
  <si>
    <t>¡IMPORTANTE! Por favor, lea la información a continuación antes de continuar:</t>
  </si>
  <si>
    <t>Incluso si un laboratorio tiene manuales actualizados de CLSI o EUCAST, es posible que no hayan podido actualizar sus documentos de ayuda de poyata y POEs para reflejar los puntos de corte actuales.</t>
  </si>
  <si>
    <t>Dado que los técnicos del laboratorio utilizan los documentos de ayuda de poyata y los POEs para la interpretación de las PSA, es crucial que éstos estén también actualizados.</t>
  </si>
  <si>
    <t>La Guía del Asesor muestra los puntos de corte actuales para estos antibióticos. Compare esta tabla con los documentos de ayuda de poyata y los POE que usan los técnicos parala interpretación de los halos de inhibición y CMIs.</t>
  </si>
  <si>
    <t>¿Los documentos de ayuda de poyata y los POE tienen los puntos de corte actualizados para las siguientes combinaciones?</t>
  </si>
  <si>
    <t>¿Define el POE claramente cómo modificar los paneles de antibióticos estándar descritos anteriormente en función del sitio del cuerpo en el que tenga lugar la infección? 
Seleccione SOLO NA si el laboratorio no realiza pruebas en el sitio del cuerpo que figura en la lista.</t>
  </si>
  <si>
    <t>Version 2.0 - August 2020</t>
  </si>
  <si>
    <t>I</t>
  </si>
  <si>
    <t>Disk µg</t>
  </si>
  <si>
    <t>2. Régional</t>
  </si>
  <si>
    <t>In the # cultures last year column, please enter the total number of cultures performed last year, both positive and negative</t>
  </si>
  <si>
    <t>Enterohemorrhagic/Enterotoxic E. coli (e.g., O157:H7)</t>
  </si>
  <si>
    <t>E. coli Enterohemorrágica / enterotoxigênica (Ex.,O157: H7)</t>
  </si>
  <si>
    <t>In the # organisms last year column, please enter the approximate number of organisms tested using each method, not the number of antibiotics tested</t>
  </si>
  <si>
    <t>In the # organisms last year column, please enter the approximate number of organisms tested using each method</t>
  </si>
  <si>
    <t>Are all critical equipment (instruments, refrigerators, freezers, incubators, computers, automated instruments) supported by a functioning generator?</t>
  </si>
  <si>
    <t>Is there a contingency plan in place for continued testing in the event of prolonged electricity disruption (e.g., power outage lasting several days)?</t>
  </si>
  <si>
    <t>Observe if acceptable min/max temperature ranges have been clearly defined on record sheets for the following areas/equipment and if temperature checks are documented daily. Tick NA if the piece of equipment in question is not in use in the lab.</t>
  </si>
  <si>
    <t>Does the lab have an automated instrument for reading disk diffusion? (e.g., SIRSCAN, BIOMIC V3, ADAGIO, etc.)</t>
  </si>
  <si>
    <t>In the last 6 months, has the lab/hospital experienced stock outs of specimen collection materials? (e.g., blood culture bottles, sterile cups, sterile swabs)</t>
  </si>
  <si>
    <t>In the last 6 months, has the lab experienced stock outs of consumables? (e.g.,, petri dishes, tubes, sterile saline, pipettes, pipette tips, plastic inoculating loops, gloves, paper, gauze, disinfectant)</t>
  </si>
  <si>
    <t>In the last 6 months, has the lab experienced stock outs of media? (e.g., powdered media, sheep blood, other additives, tubed media)</t>
  </si>
  <si>
    <t>In the last 6 months, has the lab experienced stock outs of conventional reagents? (e.g., oxidase reagent, indole reagent, catalase reagent, coagulase reagent, etc.)</t>
  </si>
  <si>
    <t>The scores for this section reflect the usability of the computer-based LIS and its likely compatibility with AMR surveillance systems, not the quality of the laboratory</t>
  </si>
  <si>
    <t>When exporting data from a LIS for data analysis purposes, including AMR surveillance, it is important that each data field is discrete</t>
  </si>
  <si>
    <t>If yes, please record name in comments. PLEASE NOTE: WHONET is not a LIS</t>
  </si>
  <si>
    <t>Specimen Source/Body Site (e.g., Arm)</t>
  </si>
  <si>
    <t>Gram stain of specimen (e.g., sputum Gram stain)</t>
  </si>
  <si>
    <t>Type of bacterial cells (gram-positive cocci, gram-negative bacilli, etc.)</t>
  </si>
  <si>
    <t>Description of colony morphologies (e.g. "mucoid lactose-fermenter" or "beta-hemolytic")</t>
  </si>
  <si>
    <t>Can the LIS record MIC values to three decimal places (e.g., 0.016)?</t>
  </si>
  <si>
    <t>Specimen Type (e.g., Wound)</t>
  </si>
  <si>
    <t>Test order (e.g., culture &amp; AST)</t>
  </si>
  <si>
    <t>Gram stain of bacterial growth colonies (gram-positive cocci, gram-negative bacilli, etc.)</t>
  </si>
  <si>
    <t>1: Fully electronic system – physician does not receive a paper report from the lab</t>
  </si>
  <si>
    <t>3: Printout from a non-LIS computer program (e.g., Word, Excel)</t>
  </si>
  <si>
    <t>4: Primarily hand-written onto a paper form</t>
  </si>
  <si>
    <t xml:space="preserve">Is there documentation showing that the Supervisor/Quality Officer received training on how to effectively troubleshoot QC failures? </t>
  </si>
  <si>
    <t>Is the lab sufficiently staffed to provide high quality services? (Including support staff)</t>
  </si>
  <si>
    <t xml:space="preserve">How many times per year does the lab currently receive EQA/PT challenges that include both bacterial identification &amp; AST? (Please do not include challenges designed to focus on a single organism, e.g., TB or N. gonorrhoeae) </t>
  </si>
  <si>
    <r>
      <t xml:space="preserve">Review the 3 most recent EQA challenges for organism identification. On how many did the lab score </t>
    </r>
    <r>
      <rPr>
        <u/>
        <sz val="10"/>
        <color theme="1"/>
        <rFont val="Calibri"/>
        <family val="2"/>
        <scheme val="minor"/>
      </rPr>
      <t>&gt;</t>
    </r>
    <r>
      <rPr>
        <sz val="10"/>
        <color theme="1"/>
        <rFont val="Calibri"/>
        <family val="2"/>
        <scheme val="minor"/>
      </rPr>
      <t xml:space="preserve">80%? </t>
    </r>
  </si>
  <si>
    <r>
      <t xml:space="preserve">Passez en revue les 3 derniers rapports d'EEQ  pour l'identification des organismes. Sur combien le score de laboratoire était-il </t>
    </r>
    <r>
      <rPr>
        <u/>
        <sz val="10"/>
        <color theme="1"/>
        <rFont val="Calibri"/>
        <family val="2"/>
        <scheme val="minor"/>
      </rPr>
      <t>&gt;</t>
    </r>
    <r>
      <rPr>
        <sz val="10"/>
        <color theme="1"/>
        <rFont val="Calibri"/>
        <family val="2"/>
        <scheme val="minor"/>
      </rPr>
      <t>80%?</t>
    </r>
  </si>
  <si>
    <r>
      <t xml:space="preserve">Reveja os 3 painéis  mais recentes da AEQ para a identificação de organismos. Em quantos o laboratório obteve uma pontuação </t>
    </r>
    <r>
      <rPr>
        <u/>
        <sz val="10"/>
        <color theme="1"/>
        <rFont val="Calibri"/>
        <family val="2"/>
        <scheme val="minor"/>
      </rPr>
      <t>&gt;</t>
    </r>
    <r>
      <rPr>
        <sz val="10"/>
        <color theme="1"/>
        <rFont val="Calibri"/>
        <family val="2"/>
        <scheme val="minor"/>
      </rPr>
      <t>80%?</t>
    </r>
  </si>
  <si>
    <r>
      <t xml:space="preserve">Revise las 3 pruebas de EQA más recientes para la identificación de organismos. ¿En cuántas obtuvo el laboratorio una puntuación </t>
    </r>
    <r>
      <rPr>
        <u/>
        <sz val="10"/>
        <color rgb="FF000000"/>
        <rFont val="Calibri"/>
        <family val="2"/>
        <scheme val="minor"/>
      </rPr>
      <t>&gt;</t>
    </r>
    <r>
      <rPr>
        <sz val="10"/>
        <color rgb="FF000000"/>
        <rFont val="Calibri"/>
        <family val="2"/>
        <scheme val="minor"/>
      </rPr>
      <t>80%?</t>
    </r>
  </si>
  <si>
    <r>
      <t xml:space="preserve">Review the 3 most recent EQA challenges for AST. On how many did the lab score </t>
    </r>
    <r>
      <rPr>
        <u/>
        <sz val="10"/>
        <color theme="1"/>
        <rFont val="Calibri"/>
        <family val="2"/>
        <scheme val="minor"/>
      </rPr>
      <t>&gt;</t>
    </r>
    <r>
      <rPr>
        <sz val="10"/>
        <color theme="1"/>
        <rFont val="Calibri"/>
        <family val="2"/>
        <scheme val="minor"/>
      </rPr>
      <t xml:space="preserve">80%? </t>
    </r>
  </si>
  <si>
    <r>
      <t xml:space="preserve">Passez en revue les 3 derniers rapports d'EEQ pour le TSA. Sur combien le score de laboratoire était-il </t>
    </r>
    <r>
      <rPr>
        <u/>
        <sz val="10"/>
        <color theme="1"/>
        <rFont val="Calibri"/>
        <family val="2"/>
        <scheme val="minor"/>
      </rPr>
      <t>&gt;</t>
    </r>
    <r>
      <rPr>
        <sz val="10"/>
        <color theme="1"/>
        <rFont val="Calibri"/>
        <family val="2"/>
        <scheme val="minor"/>
      </rPr>
      <t xml:space="preserve"> 80%?</t>
    </r>
  </si>
  <si>
    <r>
      <t xml:space="preserve">Revise las 3 pruebas de EQA más recientes para PSA. ¿En cuántas obtuvo el laboratorio una puntuación </t>
    </r>
    <r>
      <rPr>
        <u/>
        <sz val="10"/>
        <color rgb="FF000000"/>
        <rFont val="Calibri"/>
        <family val="2"/>
        <scheme val="minor"/>
      </rPr>
      <t>&gt;</t>
    </r>
    <r>
      <rPr>
        <sz val="10"/>
        <color rgb="FF000000"/>
        <rFont val="Calibri"/>
        <family val="2"/>
        <scheme val="minor"/>
      </rPr>
      <t xml:space="preserve"> 80%?</t>
    </r>
  </si>
  <si>
    <r>
      <t xml:space="preserve">Reveja os 3 painéis  mais recentes da AEQ para a TSA. Em quantos o laboratório obteve uma pontuação </t>
    </r>
    <r>
      <rPr>
        <u/>
        <sz val="10"/>
        <color theme="1"/>
        <rFont val="Calibri"/>
        <family val="2"/>
        <scheme val="minor"/>
      </rPr>
      <t>&gt;</t>
    </r>
    <r>
      <rPr>
        <sz val="10"/>
        <color theme="1"/>
        <rFont val="Calibri"/>
        <family val="2"/>
        <scheme val="minor"/>
      </rPr>
      <t xml:space="preserve"> 80%?</t>
    </r>
  </si>
  <si>
    <r>
      <t xml:space="preserve">Is the dissolved suspension autoclaved in a clean autoclave at 15 psi, 121°C, for </t>
    </r>
    <r>
      <rPr>
        <u/>
        <sz val="10"/>
        <color theme="1"/>
        <rFont val="Calibri"/>
        <family val="2"/>
        <scheme val="minor"/>
      </rPr>
      <t>&gt;</t>
    </r>
    <r>
      <rPr>
        <sz val="10"/>
        <color theme="1"/>
        <rFont val="Calibri"/>
        <family val="2"/>
        <scheme val="minor"/>
      </rPr>
      <t>15 minutes?</t>
    </r>
  </si>
  <si>
    <r>
      <t xml:space="preserve">La suspension dissoute est-elle autoclavée dans un autoclave propre à 15 psi, 121 ° C, pendant </t>
    </r>
    <r>
      <rPr>
        <u/>
        <sz val="10"/>
        <color theme="1"/>
        <rFont val="Calibri"/>
        <family val="2"/>
        <scheme val="minor"/>
      </rPr>
      <t>&gt;</t>
    </r>
    <r>
      <rPr>
        <sz val="10"/>
        <color theme="1"/>
        <rFont val="Calibri"/>
        <family val="2"/>
        <scheme val="minor"/>
      </rPr>
      <t>15 minutes?</t>
    </r>
  </si>
  <si>
    <r>
      <t xml:space="preserve">¿La suspensión disuelta se autoclava en un autoclave limpio a 15 psi, 121 ° C, durante </t>
    </r>
    <r>
      <rPr>
        <u/>
        <sz val="10"/>
        <color rgb="FF000000"/>
        <rFont val="Calibri"/>
        <family val="2"/>
        <scheme val="minor"/>
      </rPr>
      <t>&gt;</t>
    </r>
    <r>
      <rPr>
        <sz val="10"/>
        <color rgb="FF000000"/>
        <rFont val="Calibri"/>
        <family val="2"/>
        <scheme val="minor"/>
      </rPr>
      <t>15 minutos?</t>
    </r>
  </si>
  <si>
    <r>
      <t xml:space="preserve">As suspensões dissolvidas são autoclavada em um autoclave limpo a 15 psi, 121 ° C, durante </t>
    </r>
    <r>
      <rPr>
        <u/>
        <sz val="10"/>
        <color theme="1"/>
        <rFont val="Calibri"/>
        <family val="2"/>
        <scheme val="minor"/>
      </rPr>
      <t>&gt;</t>
    </r>
    <r>
      <rPr>
        <sz val="10"/>
        <color theme="1"/>
        <rFont val="Calibri"/>
        <family val="2"/>
        <scheme val="minor"/>
      </rPr>
      <t>15 minutos?</t>
    </r>
  </si>
  <si>
    <t>Is the autoclaved suspension cooled to 45-50°C before adding additional compounds (e.g., blood)?</t>
  </si>
  <si>
    <t>Are plates stored inside bags/sleeves to avoid dehydration?</t>
  </si>
  <si>
    <t xml:space="preserve">Do QC records for blood agar plates (BAP) demonstrate that they are checked for their ability to support growth of fastidious organisms such as Streptococcus pneumoniae? </t>
  </si>
  <si>
    <t xml:space="preserve">Do QC records for BAP demonstrate that they are checked for their ability to show alpha, beta, and gamma hemolysis? </t>
  </si>
  <si>
    <t>Do QC records for chocolate agar plates demonstrate that they are checked for their ability to support the growth of fastidious organisms, such as Neisseria gonorrhoeae or H. influenzae?</t>
  </si>
  <si>
    <t>Les registres de contrôle de la qualité des géloses au chocolat démontrent-ils que leur aptitude à soutenir la croissance d'organismes fastidieux, tels que Neisseria gonorrhoeae ou H. influenzae, est vérifiée?</t>
  </si>
  <si>
    <t>¿Se muestra en los registros de CC de las placas de agar chocolate que se verifica su capacidad para crecer organismos fastidiosos, como Neisseria gonorrhoeae o H. influenzae?</t>
  </si>
  <si>
    <t>MacConkey (MAC) and Eosin methylene blue (EMB) agars contain bile salts and/or dyes that are toxic for gram-positive bacteria when made properly. Do QC records for MAC and/or EMB plates demonstrate that each batch/lot is challenged using a gram-positive organism?</t>
  </si>
  <si>
    <t>Dyes and pH indicators in MAC and EMB plates provide a color indicator to distinguish between lactose fermenting (LF) and non-lactose fermenting (NLF) gram-negative organisms. Do QC records for MAC and/or EMB plates demonstrate that each batch/lot is challenged using both LF and NLF organisms?</t>
  </si>
  <si>
    <t>¿Se muestra en los registros de CC de las placas de agar selectivas para heces que se verifica su capacidad para hacer visible la producción de sulfuro de hidrógeno (H2S) utilizando un organismo productor de H2S, como Salmonella spp o Proteus vulgaris?</t>
  </si>
  <si>
    <t>Os registros de CQ para placas de ágar seletivas para fezes demonstram que são verificadas quanto à sua capacidade para produção visível de sulfato de hidrogênio (H2S) utilizando um organismo produtor de H2S, tais como Salmonella spp ou Proteus vulgaris?</t>
  </si>
  <si>
    <t>Do QC records for selective stool agar plates demonstrate that they are checked for their ability to make hydrogen sulfide (H2S) production visible using a H2S producing organism, such as Salmonella spp or Proteus vulgaris?</t>
  </si>
  <si>
    <t>Les registres de contrôle de la qualité des géloses sélectives montrent-ils que leur aptitude à rendre visible la production de sulfure d'hydrogène (H2S) est vérifiée à l'aide d'un organisme producteur de H2S, tel que Salmonella spp ou Proteus vulgaris?</t>
  </si>
  <si>
    <t>Are plates stored at 2-8°C until use?</t>
  </si>
  <si>
    <t>Do QC records indicate that each batch of Mueller Hinton Blood agar is checked for its ability to produce expected zone sizes using Streptococcus pneumoniae ATCC 49619 (or equivalent)?</t>
  </si>
  <si>
    <t>Les comptes rendus de contrôle qualité interne indiquent-ils que chaque lot de gélose au sang Mueller Hinton est vérifié pour sa capacité à produire les diamètres attendus en utilisant Streptococcus pneumoniae ATCC 49619 (ou équivalent)?</t>
  </si>
  <si>
    <t>¿Se indica en los registros de CC que en cada lote de agar Mueller Hinton suplementado con sangre se verifica su capacidad para producir los diámetros de los halos de inhibición esperados utilizando Streptococcus pneumoniae ATCC 49619 (o equivalente)?</t>
  </si>
  <si>
    <t>Os registros de CQ indicam que cada lote de ágar Mueller Hinton suplementado com sangue é verificado pela sua capacidade de produzir halos de inibição esperados usando Streptococcus pneumoniae ATCC 49619 (ou equivalente)?</t>
  </si>
  <si>
    <r>
      <t>Are the bottles autoclaved at 121</t>
    </r>
    <r>
      <rPr>
        <sz val="10"/>
        <color theme="1"/>
        <rFont val="Calibri"/>
        <family val="2"/>
      </rPr>
      <t>°C</t>
    </r>
    <r>
      <rPr>
        <sz val="10"/>
        <color theme="1"/>
        <rFont val="Calibri"/>
        <family val="2"/>
        <scheme val="minor"/>
      </rPr>
      <t xml:space="preserve"> for </t>
    </r>
    <r>
      <rPr>
        <u/>
        <sz val="10"/>
        <color theme="1"/>
        <rFont val="Calibri"/>
        <family val="2"/>
        <scheme val="minor"/>
      </rPr>
      <t>&gt;</t>
    </r>
    <r>
      <rPr>
        <sz val="10"/>
        <color theme="1"/>
        <rFont val="Calibri"/>
        <family val="2"/>
        <scheme val="minor"/>
      </rPr>
      <t>15 min?</t>
    </r>
  </si>
  <si>
    <r>
      <t xml:space="preserve">¿Se esterilizan en autoclave los frascos a 121ºC durante </t>
    </r>
    <r>
      <rPr>
        <u/>
        <sz val="10"/>
        <color rgb="FF000000"/>
        <rFont val="Calibri"/>
        <family val="2"/>
        <scheme val="minor"/>
      </rPr>
      <t>&gt;</t>
    </r>
    <r>
      <rPr>
        <sz val="10"/>
        <color rgb="FF000000"/>
        <rFont val="Calibri"/>
        <family val="2"/>
        <scheme val="minor"/>
      </rPr>
      <t>15 minutos?</t>
    </r>
  </si>
  <si>
    <r>
      <t xml:space="preserve">As garrafas autoclavadas a 121ºC durante </t>
    </r>
    <r>
      <rPr>
        <u/>
        <sz val="10"/>
        <color theme="1"/>
        <rFont val="Calibri"/>
        <family val="2"/>
        <scheme val="minor"/>
      </rPr>
      <t>&gt;</t>
    </r>
    <r>
      <rPr>
        <sz val="10"/>
        <color theme="1"/>
        <rFont val="Calibri"/>
        <family val="2"/>
        <scheme val="minor"/>
      </rPr>
      <t>15 min?</t>
    </r>
  </si>
  <si>
    <r>
      <t xml:space="preserve">Les flacons sont-ils autoclavées à 121°C pendant </t>
    </r>
    <r>
      <rPr>
        <u/>
        <sz val="10"/>
        <color theme="1"/>
        <rFont val="Calibri"/>
        <family val="2"/>
        <scheme val="minor"/>
      </rPr>
      <t>&gt;</t>
    </r>
    <r>
      <rPr>
        <sz val="10"/>
        <color theme="1"/>
        <rFont val="Calibri"/>
        <family val="2"/>
        <scheme val="minor"/>
      </rPr>
      <t>15 minutes?</t>
    </r>
  </si>
  <si>
    <t>Checked for sterility by incubating a portion of uninoculated bottles? (Ideally 5%)</t>
  </si>
  <si>
    <t>Near the expiration date, is QC repeated on a few of the bottles to confirm the long-term stability of the broth?</t>
  </si>
  <si>
    <t>Is QC performed and results recorded on each new preparation or lot number of Gram stain reagents?</t>
  </si>
  <si>
    <t>Standard: CAP MIC.21540, MIC.21624 All staining procedures (Gram stains, special stains, and fluorescent stains) should be checked and results recorded for each new batch of stain.</t>
  </si>
  <si>
    <t xml:space="preserve">Observe the Gram stain, catalase, coagulase, oxidase and indole reagents in use by the laboratory. Are they labeled with: </t>
  </si>
  <si>
    <t>Do QC records demonstrate the following? If a reagent is not used, check NA</t>
  </si>
  <si>
    <t>Triple Sugar Iron agar or Kligler Iron Agar</t>
  </si>
  <si>
    <t>Standard: CAP MIC.21624 Positive and negative controls must be tested and recorded for all differential test procedures. Controls must be performed and recorded at the specific periodic intervals listed for the tests.</t>
  </si>
  <si>
    <t>Staphylococcus aureus ATCC 25923/CIP 76.25 (If CLSI standard used)</t>
  </si>
  <si>
    <t>Staphylococcus aureus ATCC 25923 / CIP 76.25 (Si la norme CLSI est utilisée)</t>
  </si>
  <si>
    <t>Staphylococcus aureus ATCC 25923 / CIP 76.25 (si se usa el estándar CLSI)</t>
  </si>
  <si>
    <t>Staphylococcus aureus ATCC 25923 / CIP 76.25 (se CLSI é a norma utilizada)</t>
  </si>
  <si>
    <t>Staphylococcus aureus ATCC 29213/CIP 103429 (If EUCAST standard used)</t>
  </si>
  <si>
    <t>Staphylococcus aureus ATCC 29213 / CIP 103429 (Si norme EUCAST utilisée)</t>
  </si>
  <si>
    <t>Staphylococcus aureus ATCC 29213 / CIP 103429 (si se utiliza el estándar EUCAST)</t>
  </si>
  <si>
    <t>Staphylococcus aureus ATCC 29213 / CIP 103429 (Se EUCAST é a norma utilizada)</t>
  </si>
  <si>
    <t>Streptococcus pneumoniae ATCC 49619</t>
  </si>
  <si>
    <t>E. coli ATCC 25922/CIP 76.24</t>
  </si>
  <si>
    <t>Staphylococcus aureus ATCC 43300 (mecA positif, SARM)</t>
  </si>
  <si>
    <t>Staphylococcus aureus ATCC 43300 (mecA positivo, SARM)</t>
  </si>
  <si>
    <t>Staphylococcus aureus ATCC 43300 (mecA positivo, MRSA)</t>
  </si>
  <si>
    <t>Staphylococcus aureus ATCC BAA-976 (msrA positif, Dzone négatif)</t>
  </si>
  <si>
    <t>Staphylococcus aureus ATCC BAA-976 (msrA positivo, zona-D negativa)</t>
  </si>
  <si>
    <t>Staphylococcus aureus ATCC BAA-977 (positif pour ermA, positif pour Dzone)</t>
  </si>
  <si>
    <t>Staphylococcus aureus ATCC BAA-977 (ermA positivo, zona-D positiva)</t>
  </si>
  <si>
    <t>Staphylococcus aureus ATCC 43300 (mecA-positive, MRSA)</t>
  </si>
  <si>
    <t>Staphylococcus aureus ATCC BAA-976 (msrA-positive, Dzone negative)</t>
  </si>
  <si>
    <t>Staphylococcus aureus ATCC BAA-977 (ermA-positive, Dzone positive)</t>
  </si>
  <si>
    <t>Enterococcus faecalis ATCC 51299/CIP 104676 (vanB-positive, VRE)</t>
  </si>
  <si>
    <t>E.coli ATCC 13353 (CTX-M-15 ESBL-positive)</t>
  </si>
  <si>
    <t>Klebsiella pneumoniae ATCC 700603 (SHV-18, OXA-2) ESBL test QC</t>
  </si>
  <si>
    <t>Klebsiella pneumoniae ATCC 700603 (CQV), test ESBL</t>
  </si>
  <si>
    <t>Klebsiella pneumoniae ATCC 700603 (SHV-18, OXA-2) para CC de prueba de BLEE</t>
  </si>
  <si>
    <t xml:space="preserve">Klebsiella pneumoniae ATCC 700603 (SHV-18, OXA-2) para CQ do teste ESBL </t>
  </si>
  <si>
    <t xml:space="preserve">Klebsiella pneumoniae ATCC BAA-1705 (TEM, SHV, KPC-2) CQ du test de la carbapénémase </t>
  </si>
  <si>
    <t>Klebsiella pneumoniae ATCC BAA-1705 (TEM, SHV, KPC-2) para CC de prueba de carbapenemasas</t>
  </si>
  <si>
    <t xml:space="preserve">Klebsiella pneumoniae ATCC BAA-1705 (TEM, SHV, KPC-2) para o teste de CQ da Carbapenemases </t>
  </si>
  <si>
    <t>Klebsiella pneumoniae ATCC BAA-1706 (résistant aux carbapénèmes par la méthode sans carbapénémase)</t>
  </si>
  <si>
    <t>Klebsiella pneumoniae ATCC BAA-1706 (resistente a los carbapenémicos por el método sin carbapenemasas)</t>
  </si>
  <si>
    <t>Klebsiella pneumoniae ATCC BAA-1706 (resistentes a carbapêmicos pelo método não Carbapenemases)</t>
  </si>
  <si>
    <t>Klebsiella pneumoniae ATCC BAA-1706 (Resistant to carbapenems by non-carbapenemase method)</t>
  </si>
  <si>
    <t>Klebsiella pneumoniae ATCC BAA-1705 (TEM, SHV, KPC-2) carbapenemase test QC</t>
  </si>
  <si>
    <t>Staphylococcus aureus ATCC 25923 / CIP 76.25 (Se a norma  utilizada é o CLSI)</t>
  </si>
  <si>
    <t>Staphylococcus aureus ATCC 29213 / CIP 103429 (Se a norma utilizada é o EUCAST)</t>
  </si>
  <si>
    <t>Does the lab use an automated instrument for AST? (e.g., Vitek, Phoenix, Microscan, etc)</t>
  </si>
  <si>
    <t>if No, answer NA until the end</t>
  </si>
  <si>
    <t>Staphylococcus aureus ATCC 25923 / CIP 76.25 (Se norma utilizada é o CLSI )</t>
  </si>
  <si>
    <t>Staphylococcus aureus ATCC 29213 / CIP 103429 (Se norma  utilizada é o EUCAST)</t>
  </si>
  <si>
    <t>When the bacteriology lab is closed, does another laboratory department process (culture) the specimens or ensure that they are stored at the proper temperatures? (Select NA if bacteriology lab does not close)</t>
  </si>
  <si>
    <t>Proper bottle labeling (patient name, ID, date, time, venipuncture site)</t>
  </si>
  <si>
    <t>Mid-stream or "clean catch" instructions</t>
  </si>
  <si>
    <t>1. Both blood agar and a selective gram-negative agar (e.g., MacConkey, EMB, CLED)</t>
  </si>
  <si>
    <t>Standard: CAP MIC.22200; SANAS TR 34-04: 3.2.1.2 The minimal standards for evaluation of urine cultures should include an estimate of number of organisms, i.e., quantitative culture expressed as CFU/mL.</t>
  </si>
  <si>
    <t>Standard: CAP MIC.22200; SANAS TR 34-04: 3.2.1.2 Les normes minimales pour l’évaluation des cultures d’urine devraient inclure une estimation du nombre d’organismes, c’est-à-dire une culture quantitative exprimée en UFC /mL.</t>
  </si>
  <si>
    <t>Estándar: CAP MIC.22200; SANAS TR 34-04: 3.2.1.2 Los estándares mínimos para la evaluación de los urocultivos deben incluir una estimación del número de organismos. Ej., expresar el cultivo cuantitativo como UFC / mL.</t>
  </si>
  <si>
    <t>Norma: CAP MIC.22200; SANAS TR 34-04: 3.2.1.2 Os padrões mínimos para a avaliação de culturas de urina devem incluir uma estimativa do número de organismos, ou seja, a cultura quantitativa expressa como UFC / mL.</t>
  </si>
  <si>
    <t>*"Fully implemented" means that the SOP has been approved and signed by a lab supervisor or designee, and that laboratory staff have been trained on the contents and utilize the SOP. A SOP that is complete but has not been approved or is not in routine use is not considered fully implemented.</t>
  </si>
  <si>
    <t xml:space="preserve">**"Readily available" means that technologists can easily access the SOP at or near the bench, either in electronic or paper form, and that the information sought is easily located within the SOP, not buried in a larger document, and is written in a language that those using the SOP can read proficiently.  </t>
  </si>
  <si>
    <t>Is catalase testing performed prior to coagulase testing on suspected Staphylococcus isolates?</t>
  </si>
  <si>
    <t>Le test de la catalase est-il effectué avant le test de la coagulase sur des isolats suspects d'être des Staphylococcus?</t>
  </si>
  <si>
    <t xml:space="preserve">1: Commercially purchased rabbit plasma – 2: Locally bled rabbit – 3: Human plasma – 4: Other source (please describe in comments) </t>
  </si>
  <si>
    <t>Streptococcus pneumoniae latex agglutination</t>
  </si>
  <si>
    <t>Aglutinación de látex para Streptococcus pneumoniae</t>
  </si>
  <si>
    <t>Aglutinação em látex para Streptococcus pneumoniae</t>
  </si>
  <si>
    <t>Triple Sugar Iron (TSI) or Kligler Iron Agar (KIA)</t>
  </si>
  <si>
    <t>Are the SOPs available in a language that the technologists can read proficiently?</t>
  </si>
  <si>
    <t>Following device inoculation, does the lab use the remaining inoculum to make a purity plate? (A purity plate is a light subculture of the inoculum that is made to ensure the inoculum was not a mixed culture or contaminated; usually streaked like a urine to ensure visualization of individual colonies and checked for purity when reading results)</t>
  </si>
  <si>
    <t>Is the SOP available in a language that the technologists using the instrument can read proficiently?</t>
  </si>
  <si>
    <t>Is it standard practice to perform a Gram stain on each isolate of interest prior to performing any other testing?</t>
  </si>
  <si>
    <t>For gram-negative bacilli, is it standard practice to perform an oxidase test first, before proceeding with any other identification tests (including automated ID)?</t>
  </si>
  <si>
    <t>For gram-negative bacilli, is it standard practice to perform an indole test second, before proceeding with other identification tests (including automated ID)?</t>
  </si>
  <si>
    <t>For oxidase-negative gram-negative bacilli that do not ferment lactose (clear on MacConkey), are sufficient tests available to achieve a definitive identification?</t>
  </si>
  <si>
    <t>For gram-positive cocci, is it standard practice to perform a catalase test first, before proceeding with any other identification tests (including automated ID)?</t>
  </si>
  <si>
    <t>For catalase-positive gram-positive cocci, is it standard practice to perform a coagulase test next, before proceeding with other identification tests (including automated ID)?</t>
  </si>
  <si>
    <t>For catalase-negative gram-positive cocci, is it standard practice to evaluate the type of hemolysis (alpha, beta, gamma), before proceeding with other identification tests (including automated ID)?</t>
  </si>
  <si>
    <t>For oxidase-positive gram-negative bacilli that are not Pseudomonas aeruginosa (lack the characteristic appearance and odor), are sufficient tests available to achieve a definitive identification?</t>
  </si>
  <si>
    <t>Para los cocos gram-positivos catalasa-positivos, ¿es una práctica estándar realizar a continuación una prueba de la coagulasa, antes de proceder con otras pruebas de identificación (incluida la identificación automática)?</t>
  </si>
  <si>
    <t>Para cocos gram-positivos, catalase-positivos, é prática comum realizar depois uma prova de coagulase antes de prosseguir com  outros testes de identificação (incluindo ID automatizada)?</t>
  </si>
  <si>
    <t>Para cocos gram-positivos, é prática comum realizar primeiro uma prova de catalase antes de prosseguir com quaisquer outros testes de identificação (incluindo ID automatizada)?</t>
  </si>
  <si>
    <t>Para los cocos gram-positivos, ¿es una práctica estándar realizar primero una prueba de catalasa, antes de proceder con cualquier otra prueba de identificación (incluida la identificación automática)?</t>
  </si>
  <si>
    <t>Para os bacilos Gram-negativos oxidase-positiva que não são Pseudomonas aeruginosa (falta o odor característico), existem testes suficientes disponíveis para conseguir uma identificação definitiva?</t>
  </si>
  <si>
    <t>Para los bacilos Gram-negativos con oxidasa-positiva que no son Pseudomonas aeruginosa (carecen del olor característico), ¿hay suficientes pruebas disponibles para conseguir una identificación definitiva?</t>
  </si>
  <si>
    <t>Pour les cocci à Gram-positif, est-il habituel de commencer par effectuer un test à la catalase avant de procéder à tout autre test d'identification (y compris l'identification par un automate)?</t>
  </si>
  <si>
    <t>Pour les cocci à Gram-positif et positifs pour la catalase, est-il habituel d'effectuer un test de coagulase avant de procéder à d'autres tests d'identification (y compris l'identification automatisée)?</t>
  </si>
  <si>
    <t>Pour les cocci à Gram-positif et négatifs pour la catalase, est-il courant d'évaluer le type d'hémolyse (alpha, bêta, gamma) avant de procéder à d'autres tests d'identification (y compris l'identification automatisée)?</t>
  </si>
  <si>
    <t>Para los cocos Gram-positivos catalasa=negativos, ¿es una práctica estándar evaluar el tipo de hemólisis (alfa, beta, gamma), antes de proceder con otras pruebas de identificación (incluida la identificación automática)?</t>
  </si>
  <si>
    <t>Para cocos Gram-positivos catalase-negativos, é prática comum avaliar o tipo de hemólise (alfa, beta, gama), antes de prosseguir com outros testes de identificação (incluindo ID automatizado)?</t>
  </si>
  <si>
    <t xml:space="preserve">If desiccants do not have a color indicator, are colorless desiccants replaced at least monthly? </t>
  </si>
  <si>
    <t>Does the lab ever use agar other than Mueller Hinton with Blood for AST of Streptococcus pneumoniae?</t>
  </si>
  <si>
    <t>Le laboratoire utilise-t-il des géloses autre que Mueller Hinton au sang pour le TSA de Streptococcus pneumoniae?</t>
  </si>
  <si>
    <t>¿Utiliza el laboratorio alguna vez otro agar que no sea Mueller Hinton suplementado con sangre para PSA de Streptococcus pneumoniae?</t>
  </si>
  <si>
    <t>O laboratório já utilizou alguma vez usar outro ágar diferente de Mueller Hinton com sangue para TSA de Streptococcus pneumoniae?</t>
  </si>
  <si>
    <t>When using multi-disk dispensers, is the bottom of the dispenser disinfected between isolates?</t>
  </si>
  <si>
    <t>For example, http://www.ilexmedical.com/files/ETEST_RG.pdf</t>
  </si>
  <si>
    <t>Check SOPs and training/competence assessment records</t>
  </si>
  <si>
    <t>Is there evidence that microbiology staff have received adequate training to recognize unusual or unexpected AST results that might require investigation? (e.g. Klebsiella spp. S to ampicillin; Staphylococcus spp. I/R to vancomycin)</t>
  </si>
  <si>
    <t>Existe-t-il des preuves que le personnel de microbiologie a reçu une formation adéquate pour reconnaître des résultats de TSA inhabituels ou inattendus pouvant nécessiter des investigations complémentaires? (par exemple, Klebsiella spp. S à l'ampicilline; Staphylococcus spp. I / R à la vancomycine)</t>
  </si>
  <si>
    <t>¿Hay evidencia de que el personal de microbiología ha recibido la formación adecuada para reconocer resultados inusuales o inesperados en las PSA que puedan requerir investigación? (por ejemplo, Klebsiella spp. S a ampicilina; Staphylococcus spp. I / R a vancomicina)</t>
  </si>
  <si>
    <t>Existe evidência de que o pessoal de microbiologia tenham recebido formação adequada para reconhecer resultados incomuns ou inesperadas no TSA que podem exigir investigação? (Por exemplo, Klebsiella spp S à ampicilina;.. Staphylococcus spp I / R à vancomicina)</t>
  </si>
  <si>
    <t>Is there evidence that the supervisor received appropriate training on how to recognize unusual AST findings?</t>
  </si>
  <si>
    <t>Does the lab review important standards changes, e.g., breakpoint changes, with the relevant hospital committees (e.g. pharmacy and therapeutics, stewardship)?</t>
  </si>
  <si>
    <t>1st generation cephalosporins (cefazolin, cephalothin, cephapirin, cephadrine)</t>
  </si>
  <si>
    <t>These drugs may appear active in vitro but are not effective clinically against Salmonella or Shigella and should not be reported as susceptible, regardless of the AST result.</t>
  </si>
  <si>
    <t>Labs that do NOT use current aztreonam and cephalosporin breakpoints should attach a warning comment to the report for ESBL-positive organisms: “ESBL-producers should be considered clinically resistant to all penicillins, cephalosporins, and aztreonam.” Is this practice in place?</t>
  </si>
  <si>
    <t>Does the lab perform any genotypic tests for ESBL production? (e.g., PCR)</t>
  </si>
  <si>
    <t>When an ESBL-positive is confirmed, is infection control notified by the lab?</t>
  </si>
  <si>
    <t>Do records indicate that lab uses both positive and negative control organisms to QC the ESBL test in use? (A commonly used ESBL-positive strain is Klebsiella pneumoniae ATCC 700603)</t>
  </si>
  <si>
    <t>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t>
  </si>
  <si>
    <t>Biochemical (colorimetric) test, e.g., CarbaNP, BCT, or β CARBA</t>
  </si>
  <si>
    <t>Does the lab perform any genotypic tests for carbapenemase production? (e.g., PCR, GeneXpert, etc.)</t>
  </si>
  <si>
    <t>Commonly used carbapenemase positive strains include K. pneumoniae ATCC BAA-1705, K. pneumoniae CCUG 56233, and K. pneumoniae NCTC 13438</t>
  </si>
  <si>
    <t>Les souches productrices de carbapénémase couramment utilisées comprennent K. pneumoniae ATCC BAA-1705, K. pneumoniae CCUG 56233 et K. pneumoniae NCTC 13438</t>
  </si>
  <si>
    <t>Las cepas positivas productoras de carbapenemasas comúnmente utilizadas son K. pneumoniae ATCC BAA-1705, K. pneumoniae CCUG 56233 y K. pneumoniae NCTC 13438</t>
  </si>
  <si>
    <t>A cepas positivas produtoras de  Carbapenemases comumente utilizadas incluem K. pneumoniae ATCC BAA-1705, K. pneumoniae CCUG 56233 e  K. pneumoniae NCTC 13438</t>
  </si>
  <si>
    <r>
      <t xml:space="preserve">Do records indicate that lab uses </t>
    </r>
    <r>
      <rPr>
        <sz val="10"/>
        <rFont val="Calibri"/>
        <family val="2"/>
        <scheme val="minor"/>
      </rPr>
      <t>appropriate</t>
    </r>
    <r>
      <rPr>
        <sz val="10"/>
        <color theme="1"/>
        <rFont val="Calibri"/>
        <family val="2"/>
        <scheme val="minor"/>
      </rPr>
      <t xml:space="preserve"> organisms to QC the colistin test in use? (P. aeruginosa 27853 </t>
    </r>
    <r>
      <rPr>
        <b/>
        <sz val="10"/>
        <color theme="1"/>
        <rFont val="Calibri"/>
        <family val="2"/>
        <scheme val="minor"/>
      </rPr>
      <t>AND</t>
    </r>
    <r>
      <rPr>
        <sz val="10"/>
        <color theme="1"/>
        <rFont val="Calibri"/>
        <family val="2"/>
        <scheme val="minor"/>
      </rPr>
      <t xml:space="preserve"> E. coli NCTC 13846 or E. coli AR Bank #0349).</t>
    </r>
  </si>
  <si>
    <r>
      <t xml:space="preserve">Les enregistrements indiquent-ils que le laboratoire utilise des organismes appropriés pour  CQ de le test de colistine utilisé? (P. aeruginosa 27853 </t>
    </r>
    <r>
      <rPr>
        <b/>
        <sz val="10"/>
        <color theme="1"/>
        <rFont val="Calibri"/>
        <family val="2"/>
        <scheme val="minor"/>
      </rPr>
      <t>ET</t>
    </r>
    <r>
      <rPr>
        <sz val="10"/>
        <color theme="1"/>
        <rFont val="Calibri"/>
        <family val="2"/>
        <scheme val="minor"/>
      </rPr>
      <t xml:space="preserve"> E. coli NCTC 13846 ou E. coli AR Bank # 0349)</t>
    </r>
  </si>
  <si>
    <r>
      <t xml:space="preserve">¿Indican los registros que el laboratorio utiliza organismos apropiados para el CC de la prueba de colistina en uso? (P. aeruginosa 27853 </t>
    </r>
    <r>
      <rPr>
        <b/>
        <sz val="10"/>
        <color rgb="FF000000"/>
        <rFont val="Calibri"/>
        <family val="2"/>
        <scheme val="minor"/>
      </rPr>
      <t>Y</t>
    </r>
    <r>
      <rPr>
        <sz val="10"/>
        <color rgb="FF000000"/>
        <rFont val="Calibri"/>
        <family val="2"/>
        <scheme val="minor"/>
      </rPr>
      <t xml:space="preserve"> E. coli NCTC 13846 o E.coli AR Bank # 0349.)</t>
    </r>
  </si>
  <si>
    <t>EXPERT RULES FOR STAPHYLOCOCCUS AUREUS</t>
  </si>
  <si>
    <t>RÈGLES D'EXPERT POUR LE STAPHYLOCOCCUS AUREUS</t>
  </si>
  <si>
    <t>REGLAS DE EXPERTO PARA STAPHYLOCOCCUS AUREUS</t>
  </si>
  <si>
    <t>REGRAS DO ESPECIALISTA PARA STAPHYLOCOCCUS AUREUS</t>
  </si>
  <si>
    <t>Are S. aureus isolates with penicillin zones sizes or MICs in the susceptible range tested for β-lactamase production using the zone-edge test before being reported as penicillin susceptible?</t>
  </si>
  <si>
    <t>Les isolats de S. aureus présentant des diamètre d'inhibition de pénicilline ou des CIM situées dans la plage de sensibilité sont-ils testés pour la production de β-lactamase à l'aide du test de limite de zone avant d'être signalés comme sensibles à la pénicilline?</t>
  </si>
  <si>
    <t>¿Se prueban los aislados de S. aureus con halos de inhibición a la penicilina o CMI en el rango sensible para detectar la producción de β-lactamasa usando la prueba de borde del halo antes de ser notificados como sensibles a la penicilina?</t>
  </si>
  <si>
    <t>Os isolados de S. aureus com diâmetros de halos de inibição de penicilina ou de CIMs no intervalo susceptível testados quanto à produção β-lactamase utilizando o teste da borda do halo antes de serem classificados como sensíveis a penicilina?</t>
  </si>
  <si>
    <t xml:space="preserve">Does the lab test S. aureus isolates against penicillin? </t>
  </si>
  <si>
    <t>Est-ce que le laboratoire teste lasensibilité à la penicilline des isolats de S. aureus?</t>
  </si>
  <si>
    <t>¿Se prueban en el laboratorio aislados de S. aureus frente a penicilina?</t>
  </si>
  <si>
    <t xml:space="preserve">O laboratório testa os isolados de  S. aureus contra penicilina? </t>
  </si>
  <si>
    <t>Does the lab perform S. aureus AST on any beta-lactam antibiotics other than penicillin, oxacillin, cefoxitin, or ceftaroline?</t>
  </si>
  <si>
    <t>Le laboratoire effectue-t-il le TSA de S. aureus sur des bêta-lactamines autres que la pénicilline, l’oxacilline, la céfoxitine ou la ceftaroline?</t>
  </si>
  <si>
    <t>¿Realiza el laboratorio PSA en S. aureus con antibióticos betalactámicos que no sean penicilina, oxacilina, cefoxitina o ceftarolina?</t>
  </si>
  <si>
    <t>O laboratório realiza TSA para S. aureus com outros antibióticos beta-lactâmicos  que não seja penicilina, oxacilina, cefoxitina, ou ceftaroline?</t>
  </si>
  <si>
    <t>When a manual MIC method is used to test vancomycin against Staph aureus, is the test incubated for a full 24 hours before reading the result?</t>
  </si>
  <si>
    <t>When a vancomycin MIC &gt;8 is detected for S. aureus, is the isolate sent to a referral lab for confirmation testing and further characterization?</t>
  </si>
  <si>
    <t>Lorsqu'une CMI pour la vancomycine&gt; 8 est détectée pour S. aureus, l'isolat est-il envoyé à un laboratoire de référence pour qu'il soit soumis à des tests de confirmation et à une caractérisation plus poussée?</t>
  </si>
  <si>
    <t>Cuando se detecta una vancomicina CMI&gt; 8 para S. aureus, ¿se envía el aislado a un laboratorio de referencia para pruebas adicionales de confirmación y caracterización?</t>
  </si>
  <si>
    <t>Quando se detecta uma  vancomicina CIM&gt; 8 para S. aureus, o isolado é enviado para um laboratório de referência para  testes adicionais de confirmação e caracterização?</t>
  </si>
  <si>
    <t>Are S. aureus that are resistant to Erythromycin and susceptible or intermediate to Clindamycin tested for inducible clindamycin resistance?</t>
  </si>
  <si>
    <t>S. aureus résistant à l'érythromycine et sensible ou intermédiaire à la clindamycine est-il testé pour sa résistance inductible à la clindamycine?</t>
  </si>
  <si>
    <t>Os S. aureus que são resistentes à Eritromicina e sensíveis ou intermediários à clindamicina são testados para a resistência induzível à clindamicina?</t>
  </si>
  <si>
    <t>GENERAL CONSIDERATIONS FOR STREPTOCOCCUS PNEUMONIAE</t>
  </si>
  <si>
    <t>CONSIDERACIONES GENERALES PARA STREPTOCOCCUS PNEUMONIAE</t>
  </si>
  <si>
    <t>CONSIDERAÇÕES GERAIS PARA STREPTOCOCCUS PNEUMONIAE</t>
  </si>
  <si>
    <t>If lab does not perform disk or Etest for S. pneumoniae AST, select N/A for all answers</t>
  </si>
  <si>
    <t>Si le laboratoire n'effectue pas de TSA en disque ou d'Etest pour S. pneumoniae, sélectionnez N / A pour toutes les réponses</t>
  </si>
  <si>
    <t>Si el laboratorio no realiza el disco o Etest para S. pneumoniae, seleccione N / A para todas las respuestas</t>
  </si>
  <si>
    <t>Se laboratório não realiza TSA com disco ou Etest para S. pneumoniae, selecione N/A para todas as respostas</t>
  </si>
  <si>
    <t>Observe a S. pneumoniae AST plate being read</t>
  </si>
  <si>
    <t>Observez une boîte de TSA de S. pneumoniae  en cours de lecture</t>
  </si>
  <si>
    <t>Observar la lectura de una placa de S. pneumoniae para PSA</t>
  </si>
  <si>
    <t xml:space="preserve">Observar a leitura de uma placa de TSA para S. pneumoniae </t>
  </si>
  <si>
    <t>EXPERT RULES FOR STREPTOCOCCUS PNEUMONIAE</t>
  </si>
  <si>
    <t>RÈGLES D'EXPERT POUR STREPTOCOCCUS PNEUMONIAE</t>
  </si>
  <si>
    <t>REGLAS DE EXPERTO PARA STREPTOCOCCUS PNEUMONIAE</t>
  </si>
  <si>
    <t>REGRAS DO ESPECIALISTA PARA STREPTOCOCCUS PNEUMONIAE</t>
  </si>
  <si>
    <t xml:space="preserve">When S. pneumoniae is isolated from CSF, are penicillin, ceftriaxone, and/or cefotaxime reported using the meningitis breakpoints only? </t>
  </si>
  <si>
    <t xml:space="preserve">When S. pneumoniae is isolated from specimens other than CSF, are penicillin, ceftriaxone, and/or cefotaxime reported using both meningitis and non-meningitis breakpoints? </t>
  </si>
  <si>
    <t>Lorsque S. pneumoniae est isolé dans du LCR, la pénicilline, la ceftriaxone et / ou le céfotaxime sont-ils signalés sur le compte rendu en utilisant uniquement les seuils pour la méningite?</t>
  </si>
  <si>
    <t>Lorsque S. pneumoniae est isolé à partir d'échantillons autres que le LCR, les pénicillines, la ceftriaxone et / ou le céfotaxime sont-ils signalés en utilisant à la fois les seuils des méningites et des infections non méningiques?</t>
  </si>
  <si>
    <t>Are S. pneumoniae that are resistant to Erythromycin and susceptible or intermediate to Clindamycin tested for inducible clindamycin resistance?</t>
  </si>
  <si>
    <t>Une souche de S. pneumoniae résistante à l'érythromycine et sensible ou intermédiaire à la clindamycine est-elle testée pour sa résistance inductible à la clindamycine?</t>
  </si>
  <si>
    <t>Cuando S. pneumoniae se aísla del LCR, ¿se notifican la penicilina, la ceftriaxona y / o la cefotaxima utilizando únicamente los puntos de corte de la meningitis?</t>
  </si>
  <si>
    <t>Cuando se aisla S. pneumoniae de muestras que no sean LCRs, ¿se notifican la penicilina, la ceftriaxona y / o la cefotaxima usando puntos de corte tanto de meningitis como de no meningitis?</t>
  </si>
  <si>
    <t>¿Se les hace a las S. pneumoniae que son resistentes a la eritromicina y susceptibles o intermedias a la clindamicina las pruebas de resistencia inducible a clindamicina?</t>
  </si>
  <si>
    <t>Does the SOP for the ICR test specify that the erythromycin and clindamycin disks must be placed 15-26 mm apart for Staphylococcus species?</t>
  </si>
  <si>
    <t>O POP para o teste D-teste especifica que os discos de eritromicina e clindamicina devem ser colocadas em uma distância de 15-26 mm para as espécies de Staphylococcus?</t>
  </si>
  <si>
    <t xml:space="preserve">Does the lab perform the test for Inducible Clindamycin Resistance (ICR), also known as the “D-test” on Staphylococcus aureus and/or Streptococcus pneumoniae? </t>
  </si>
  <si>
    <t>Le laboratoire effectue-t-il le test de résistance inductible à la clindamycine (RIC), également appelé «test D» sur Staphylococcus aureus et / ou Streptococcus pneumoniae?</t>
  </si>
  <si>
    <t>¿Realiza el laboratorio la prueba de resistencia inducible a clindamicina (ICR, por sus siglas en inglés), también conocida como “D-test” en Staphylococcus aureus y / o Streptococcus pneumoniae?</t>
  </si>
  <si>
    <t xml:space="preserve">O laboratório realiza a prova de resistência induzível a clindamicina  (ICR), também conhecido como o “D-teste” em  Staphylococcus aureus e/ ou Streptococcus pneumoniae? </t>
  </si>
  <si>
    <t>Does the SOP for the ICR test specify that the erythromycin and clindamycin disks must be placed 12 mm apart for Streptococcus species?</t>
  </si>
  <si>
    <t>O POP para o teste D-teste especifica que os discos de eritromicina e clindamicina devem ser colocadas em uma distância de 12 mm para as espécies de Streptococcus?</t>
  </si>
  <si>
    <t>Do records indicate that lab uses both positive and negative control organisms to QC the ICR test in use? (Commonly used ICR positive strain is S. aureus ATCC BAA-977)</t>
  </si>
  <si>
    <t>¿Indican los registros si el laboratorio utiliza organismos de control positivo y negativo para el control del D-test en uso? (La cepa positiva más utilizada en el D-test es S. aureus ATCC BAA-977)</t>
  </si>
  <si>
    <t>Review several patient AST reports for E. coli. Is the same combination of antibiotics tested each time?</t>
  </si>
  <si>
    <t>Is the lab able to separate inpatient data from outpatient data?</t>
  </si>
  <si>
    <t>Does lab policy primarily determine which isolates receive AST, or is AST performed only when it is specifically requested by the doctor?</t>
  </si>
  <si>
    <t>If the hospital has an Antibiotic Stewardship Committee, is a microbiologist a member?</t>
  </si>
  <si>
    <t>If the hospital has a Pharmacy and Therapeutics Committee, is a microbiologist a member?</t>
  </si>
  <si>
    <t>Eye protection</t>
  </si>
  <si>
    <t>Aerosol face protection (respirator, face shield, or splatter guard)</t>
  </si>
  <si>
    <t>Standard: ISO 15189: 5.2.10 The work area should be regularly inspected for cleanliness and spills. An appropriate disinfectant should be used. At a minimum, all benchtops and working surfaces should be disinfected at the beginning and end of every shift. All spills should be contained immediately and the work surfaces disinfected.</t>
  </si>
  <si>
    <t>Current CLSI and EUCAST breakpoints for Salmonella spp, Enterobacterales, Acinetobacter spp, and Pseudomonas aeruginosa</t>
  </si>
  <si>
    <t>Seuils de détection CLSI et EUCAST pour Salmonella spp, Enterobacterales, Acinetobacter spp et Pseudomonas aeruginosa</t>
  </si>
  <si>
    <t>Puntos de corte actuales de CLSI y EUCAST para Salmonella spp, Enterobacterales, Acinetobacter spp y Pseudomonas aeruginosa</t>
  </si>
  <si>
    <t>Pontos de corte atuais do CLSI e EUCAST para Salmonella spp., Enterobacterales, Acinetobacter spp e Pseudomonas aeruginosa</t>
  </si>
  <si>
    <t>Selecione o número do idioma desejado na célula A3: 1- Inglês, 2-Francês, 3-Espanhol, 4-Português, 5-outros</t>
  </si>
  <si>
    <t>Seleccione el número del idioma deseado en la celda A3: 1- inglés, 2- francés, 3- español, 4-portugués, 5-otro</t>
  </si>
  <si>
    <t>↓</t>
  </si>
  <si>
    <t>Versión 2.0 - Agosto 2020</t>
  </si>
  <si>
    <t>Versão 2.0 - Agosto 2020</t>
  </si>
  <si>
    <t>Version 2.0 - Août 2020</t>
  </si>
  <si>
    <t>Staphylococcus aureus ATCC 25923 / CIP 76.25  (Se é norma utilizada é o CLSI )</t>
  </si>
  <si>
    <t>Staphylococcus aureus ATCC 29213 / CIP 103429 (Se é norma utilizada é o EUCAST)</t>
  </si>
  <si>
    <t>Céphalosporines de première génération (céfazoline, céphalothine, céphapirine, céphadrine)</t>
  </si>
  <si>
    <t>Cefalosporinas de primera generación (cefazolina, cefalotina, cefapirina, cefalina)</t>
  </si>
  <si>
    <t>Cefalosporinas de 1ª geração (cefazolina, cefalotina, cefapirina, cefadrina)</t>
  </si>
  <si>
    <t>Cefalosporinas de 1ª geração (cefazolina, cefalotina, cefapirina, cefadrine)</t>
  </si>
  <si>
    <t>Streptococcus pneumoniae</t>
  </si>
  <si>
    <t>Staphylococcus aureus</t>
  </si>
  <si>
    <t>Sélectionnez le numéro de la langue désirée dans la case A3: 1- anglais, 2- français, 3- espagnol, 4-portugais, 5-autre</t>
  </si>
  <si>
    <t>Figura para utilizar com o Módulo de CQ do TSA, perguntas 7.7-7.11</t>
  </si>
  <si>
    <t>Algum fator de  crescimento é adicionado? (Tais como: Gelatina, Extrato de Levedura, Hemina (fator X), NAD (fator Y), Piridoxina, Ácido para-aminobenzóico, Cisteína)</t>
  </si>
  <si>
    <t>2- LAB INFORMATION SYSTEM (Excluded from overall score)</t>
  </si>
  <si>
    <t>Overall Score and Module Score Summary</t>
  </si>
  <si>
    <t>Scores global et de section</t>
  </si>
  <si>
    <t>Pontuação Geral e da Seção</t>
  </si>
  <si>
    <t>Puntuación General y de la Sección</t>
  </si>
  <si>
    <t>Review the calibration records for each piece of equipment. Has calibration been performed within the last year?   (Select NA only if the lab does not have the equipment.)</t>
  </si>
  <si>
    <t>Indicate if manual (non-digital) thermometers are present inside each piece of equipment. (Select NA if the lab does not have the equipment.)</t>
  </si>
  <si>
    <t>Les enregistrements de contrôle de qualité pour les géloses au sang montrent-ils que leur aptitude à mettre en évidence une hémolyse alpha, bêta, et gamma est vérifiée?</t>
  </si>
  <si>
    <t>¿Se muestra en los registros de CC de las placas de agar sangre que se verifica su capacidad para mostrar hemólisis alfa, beta, y gamma?</t>
  </si>
  <si>
    <t xml:space="preserve">Os registros de CQ para placas de ágar sangue demonstram que são verificadas quanto à sua capacidade de mostrar alfa, beta, e gama hemólise? </t>
  </si>
  <si>
    <t>Cochez NA si le laboratoire n'utilise aucun trousse d'analyse commerciale pour l'identification des organismes.</t>
  </si>
  <si>
    <r>
      <t>Examinez les enregistrements de contrôle de qualité pour les cartes / plaques d'identification utilisés avec des instruments d'identification automatisés (Vitek, Phoenix, Microscan, etc.) Cochez NA si le laboratoire n'utilise syst</t>
    </r>
    <r>
      <rPr>
        <sz val="10"/>
        <color rgb="FFFF0000"/>
        <rFont val="Calibri"/>
        <family val="2"/>
        <scheme val="minor"/>
      </rPr>
      <t>e</t>
    </r>
    <r>
      <rPr>
        <sz val="10"/>
        <color theme="1"/>
        <rFont val="Calibri"/>
        <family val="2"/>
        <scheme val="minor"/>
      </rPr>
      <t>mes d'identification automatis</t>
    </r>
    <r>
      <rPr>
        <sz val="10"/>
        <color rgb="FFFF0000"/>
        <rFont val="Calibri"/>
        <family val="2"/>
        <scheme val="minor"/>
      </rPr>
      <t>e</t>
    </r>
    <r>
      <rPr>
        <sz val="10"/>
        <color theme="1"/>
        <rFont val="Calibri"/>
        <family val="2"/>
        <scheme val="minor"/>
      </rPr>
      <t>s pour l'identification des organismes.</t>
    </r>
  </si>
  <si>
    <t>1: Yes - 2: Partial - 3: No - NA: lab does not use rapid biochemical kits</t>
  </si>
  <si>
    <t>1: Oui - 2: Partiel - 3: Non - NA: le laboratoire n'utilise pas de trousses biochimiques rapides</t>
  </si>
  <si>
    <t>1: Sí - 2: Parcial - 3: No - NA: el laboratorio no utiliza kits bioquímicos rápidos</t>
  </si>
  <si>
    <t xml:space="preserve">1: Sim - 2: Parcial - 3: Não - NA: laboratório não utiliza kits bioquímicos rápidos </t>
  </si>
  <si>
    <t>10.164</t>
  </si>
  <si>
    <t>Distiller/reverse osmosis equipment</t>
  </si>
  <si>
    <t>Enter quantity in column D (#)</t>
  </si>
  <si>
    <t>To create an even lawn, streak a line from top to bottom, then spread left to right across that line from top to bottom. Rotate plate 60° and repeat from beginning; rotate plate another 60° and repeat again.</t>
  </si>
  <si>
    <t xml:space="preserve">
Pour répartir uniformément: Tracez une ligne de haut en bas, puis étalez de haut en bas de gauche à droite. Faites pivoter la plaque de 60 ° et recommencez depuis le début. Faites pivoter la plaque de 60 ° et répétez l'opération.</t>
  </si>
  <si>
    <t>Para crear una siembra uniforme: Trazar una línea de arriba a abajo, luego extenderla de izquierda a derecha a través de esa línea vertical. Rotar la placa 60 ° y repetir desde el principio; rotar la placa otros 60 ° y repetir nuevamente.</t>
  </si>
  <si>
    <t>Para criar uma camada uniforme: Traçar uma linha de cima para baixo, em seguida, espalhar da esquerda para a direita através dessa linha vertical. Girar a placa a 60 ° e repetir desde o início; girar a placa mais 60 ° e repetir novamente.</t>
  </si>
  <si>
    <t>(1: Yes - 2: Some, but would like additional training - 3: No)</t>
  </si>
  <si>
    <t>Is there evidence that microbiology staff have received adequate training to recognize intrinsic resistance patterns? (Check SOPs and training/competence assessment records )</t>
  </si>
  <si>
    <t>Existe-t-il des preuves que le personnel de microbiologie a reçu une formation adéquate pour reconnaître les profils de résistance naturelle? (Vérifier les POS et les dossiers d'évaluation de la formation / des compétences)</t>
  </si>
  <si>
    <t>¿Hay evidencia de que el personal de microbiología ha recibido la formación adecuada para reconocer los patrones de resistencia intrínseca? (Verifique los POE y los registros de evaluación de formación / competencia)</t>
  </si>
  <si>
    <t>Existe evidência de que o pessoal de microbiologia tenha recebido formação adequada para reconhecer padrões de resistência intrínseca? (Verifique os POPs e os registros de avaliação de treinamento/ competência)</t>
  </si>
  <si>
    <t>(1: Sim - 2: Alguns, mas gostariam de  treinamento adicional - 3: Não)</t>
  </si>
  <si>
    <t>(1: Sí - 2: Algunos, pero quisiera formación adicional - 3: No)</t>
  </si>
  <si>
    <t>(1: Oui - 2: Certains, mais voudraient une formation supplémentaire - 3: Non)</t>
  </si>
  <si>
    <t>La POS explique-t-elle comment identifier les agents pathogènes potentiels sur tous les milieux de départ?</t>
  </si>
  <si>
    <t>La POS devrait décrire l’apparence des colonies de pathogènes potentiels sur MAC, sur d’autres milieux sélectifs et différentiels utilisés, et définir la marche à suivre en cas de découverte d’un pathogène potentiel.</t>
  </si>
  <si>
    <t>La POS fournit-elle des instructions étape par étape sur la manière de réaliser l'analyse correctement?</t>
  </si>
  <si>
    <t>Une POS à jour a-t-elle été entièrement mise en oeuvre? * (Si le réactif est utilisé mais qu'il n'y a pas de POS, répondez "non" à toutes les questions restantes concernant ce réactif)</t>
  </si>
  <si>
    <t>Introduzca la cantidad en la columna D (#)</t>
  </si>
  <si>
    <t>Indicar se o laboratório tem as seguintes peças de equipamentos FUNCIONAIS. Na coluna D (#), indique quantas peças de equipamentos FUNCIONAIS estão presentes. Se o laboratório tiver apenas equipamentos não funcionais,  selecione "Não" e escreva "não funcional" nos comentários. Indique também nos comentários se a quantidade de equipamentos é suficiente para o volume de testes do laboratório.</t>
  </si>
  <si>
    <t>Indique si el laboratorio cuenta con los siguientes equipos FUNCIONALES. En la columna D (#), indique cuántas piezas de equipo FUNCIONAL están presentes. Si el laboratorio solo tiene equipo no funcional, seleccione "No" y escriba "no funcional" en los comentarios. Indique también en los comentarios si la cantidad de equipo es suficiente para el volumen de pruebas del laboratorio.</t>
  </si>
  <si>
    <r>
      <t>Calibrated 1</t>
    </r>
    <r>
      <rPr>
        <sz val="10"/>
        <color theme="1"/>
        <rFont val="Calibri"/>
        <family val="2"/>
      </rPr>
      <t>µ</t>
    </r>
    <r>
      <rPr>
        <sz val="10"/>
        <color theme="1"/>
        <rFont val="Calibri"/>
        <family val="2"/>
        <scheme val="minor"/>
      </rPr>
      <t>L or 10</t>
    </r>
    <r>
      <rPr>
        <sz val="10"/>
        <color theme="1"/>
        <rFont val="Calibri"/>
        <family val="2"/>
      </rPr>
      <t>µ</t>
    </r>
    <r>
      <rPr>
        <sz val="10"/>
        <color theme="1"/>
        <rFont val="Calibri"/>
        <family val="2"/>
        <scheme val="minor"/>
      </rPr>
      <t>L loops (for plating urine cultures)</t>
    </r>
  </si>
  <si>
    <t>Oeses calibrées de 1µL ou 10µL (pour l'ensemmencement des urines)</t>
  </si>
  <si>
    <t>Asas de siembra calibradas de 1µL o 10µL (para sembrar en placa cultivos de orina)</t>
  </si>
  <si>
    <t>Alça Calibrada 1µL ou 10µL (para semear culturas de urina)</t>
  </si>
  <si>
    <t>Registration is optional.</t>
  </si>
  <si>
    <t xml:space="preserve">If you register, CDC will notify you of updates and changes to the LAARC Tool. </t>
  </si>
  <si>
    <t>In addition, CDC may request feedback to improve the tool or ask you to participate in research to better understand antimicrobial resistance laboratory findings from around the world. Sharing information is optional.</t>
  </si>
  <si>
    <t>Please register your use of the Laboratory Assessment of Antibiotic Resistance Testing Capacity (LAARC) Tool.</t>
  </si>
  <si>
    <t>Registre seu uso da Ferramenta de Avaliação de Laboratório de Capacidade de Detectar a Resistência a Antibióticos (LAARC).</t>
  </si>
  <si>
    <t>Veuillez enregistrer votre utilisation de l'outil d'évaluation en laboratoire de la capacités d'analyse de résistance aux antibiotiques (LAARC).</t>
  </si>
  <si>
    <t>Registre su uso de la herramienta de evaluación de laboratorio de la capacidad para detectar de resistencia a los antibióticos (LAARC).</t>
  </si>
  <si>
    <t>El registro es opcional.</t>
  </si>
  <si>
    <t>L'inscription est facultative.</t>
  </si>
  <si>
    <t>O registro é opcional.</t>
  </si>
  <si>
    <t>Se você se registrar, o CDC irá notificá-lo sobre atualizações e mudanças na ferramenta LAARC.</t>
  </si>
  <si>
    <t>Si se registra, los CDC le notificarán las actualizaciones y cambios a la herramienta LAARC.</t>
  </si>
  <si>
    <t>Si vous vous inscrivez, CDC vous informera des mises à jour et des modifications apportées à l'outil LAARC.</t>
  </si>
  <si>
    <t>De plus, les CDC peuvent demander des commentaires pour améliorer l'outil ou vous demander de participer à des recherches pour mieux comprendre les résultats des laboratoires de résistance aux antimicrobiens du monde entier. Le partage d'informations est facultatif.</t>
  </si>
  <si>
    <t>Además, los CDC pueden solicitar comentarios para mejorar la herramienta o pedirle que participe en una investigación para comprender mejor los hallazgos de laboratorio de resistencia a los antimicrobianos de todo el mundo. Compartir información es opcional.</t>
  </si>
  <si>
    <t>Além disso, o CDC pode solicitar feedback para melhorar a ferramenta ou pedir que você participe de pesquisas para entender melhor os achados laboratoriais de resistência antimicrobiana de todo o mundo. O compartilhamento de informações é opcional.</t>
  </si>
  <si>
    <t>pour la</t>
  </si>
  <si>
    <t>Résistance aux Antibiotiques</t>
  </si>
  <si>
    <t>Indicate whether the lab is currently using the following FUNCTIONAL pieces of equipment. If the lab has only non-functional equipment, select "No" and note "non-functional" in the comments.</t>
  </si>
  <si>
    <t>Indiquez si le laboratoire utilise actuellement les équipements FONCTIONELS suivants. Si le laboratoire ne dispose que de matériel non fonctionnel, sélectionnez "Non" et notez "non fonctionnel" dans les commentaires.</t>
  </si>
  <si>
    <t>Indique si el laboratorio está utilizando actualmente los siguientes equipos FUNCIONALES. Si el laboratorio no tiene ningún equpo funcional, seleccione "No" y anote "no funcional" en los comentarios.</t>
  </si>
  <si>
    <t>Indique se o laboratório está utilizando atualmente as seguintes peças  de equipamento FUNCIONAIS. Se o laboratório não tem nenhum equipamento funcional, selecione "Não", e escreva "não funcional" nos comentários.</t>
  </si>
  <si>
    <t>Is this reagent used to test patient isolates? (If No, select NA for the remaining questions about this reagent)</t>
  </si>
  <si>
    <t>Ce réactif est-il utilisé pour tester les isolats de patients? (Si non, sélectionnez NA pour les questions restantes à propos de ce réactif)</t>
  </si>
  <si>
    <t>¿Está en uso este reactivo para analizar los aislamientos de los pacientes? (En caso negativo, seleccione NA para las preguntas restantes sobre este reactivo)</t>
  </si>
  <si>
    <t>Este reagente está em uso para testar isolados de pacientes? (Se não, selecionar NA para as perguntas restantes sobre este reagente)</t>
  </si>
  <si>
    <t>Tables for use with AST Expert Rules Module, questions 12.7 - 12.25</t>
  </si>
  <si>
    <t>Tableaux à utiliser avec le module de règles expert du TSA, questions 12.7 à 12.25</t>
  </si>
  <si>
    <t>Tablas para usar en el Módulo de Reglas de Experto para PSA, preguntas 12.7 - 12.25</t>
  </si>
  <si>
    <t>Tabelas para utilizar  no Módulo de Regras do Especialista para TSA, perguntas 12.7 - 12.25</t>
  </si>
  <si>
    <t>Dans la colonne #/année, veuillez entrer le nombre total de cultures effectuées l'année dernière incluant les résultats positifs et négatifs.</t>
  </si>
  <si>
    <t>Dans la colonne nbr #/année, veuillez entrer le nombre approximatif d'organismes testés en utilisant chaque méthode et non le nombre d'antibiotiques testés</t>
  </si>
  <si>
    <t>Dans la colonne #/année, veuillez entrer le nombre approximatif d'organismes testés en utilisant chaque méthode, pas le nombre d'antibiotiques testés</t>
  </si>
  <si>
    <t>Dans la colonne #/année, veuillez entrer le nombre approximatif d'organismes testés en utilisant chaque méthode.</t>
  </si>
  <si>
    <t>Coordonnées de la direction du laboratoire de bactériologie: Directeur, responsable, superviseur, chef de section, responsable de la qualité.</t>
  </si>
  <si>
    <t>Immédiatement après l'autoclavage, laisse-t-on refroidir la gélose dans un bain marie à 45°C - 50°C?</t>
  </si>
  <si>
    <t>Inmediatamente después de la esterilización en el autoclave, ¿se deja enfriar el agar en un baño de agua a 45° - 50°C?</t>
  </si>
  <si>
    <t>Imediatamente depois da autoclavagem, o ágar é deixado esfriar a 45° a 50°C em banho-maria?</t>
  </si>
  <si>
    <t>If the lab does not use an electronic LIS, answer No to question 2.1, then skip to the Data Management tab, #3.</t>
  </si>
  <si>
    <t>Si le laboratoire n'utilise pas de LIS informatisé, répondez Non à la question 2.1, puis passez à Gestion des données, #3.</t>
  </si>
  <si>
    <t>Si el laboratorio no usa un Sistema de Información electrónico, responda No a la pregunta 2.1, luego pase a Gestión de datos, #3.</t>
  </si>
  <si>
    <t>Se o laboratório não usa um LIS eletrônico, responda Não à pergunta 2.1, e passe para a Gestão de Dados, #3.</t>
  </si>
  <si>
    <t>Cantidad de células polimorfonucleares (PMN) (glóbulos blancos, leucocitos) por campo de baja potencia</t>
  </si>
  <si>
    <t>1: Los sistemas no están actualmente interconectados</t>
  </si>
  <si>
    <t>Nombre de SIL:</t>
  </si>
  <si>
    <t>Nome do SIL:</t>
  </si>
  <si>
    <t>Nom du SIL</t>
  </si>
  <si>
    <t>Do records demonstrate that lab staff receive annual competency assessments for each of the following? (Review competency records, select NA if not on lab's test menu)</t>
  </si>
  <si>
    <t>Les enregistrements démontrent-ils que le personnel de laboratoire reçoit des évaluations annuelles des compétences pour chacun des éléments suivants? (Consultez les enregistrements de compétences, sélectionnez NA si ce n’est pas dans le catalogue des analyses du laboratoire)</t>
  </si>
  <si>
    <t>¿Muestran los registros que el personal del laboratorio recibe evaluaciones de competencia anuales para cada uno de las siguientes pruebas? (Revise los registros de competencia, seleccione NA si no está en el listado de pruebas de laboratorio)</t>
  </si>
  <si>
    <t>Os registros demonstram que o pessoal de laboratório recebe avaliações anuais de competência para cada um dos seguintes testes? (Revisar os registros de competência, selecione NA se não está na lista de testes do laboratório)</t>
  </si>
  <si>
    <t>To correct this, click on the grey triangle in the upper left-hand corner between row 1 and column A, then select Home, Cells, Format, Autofit Row Height</t>
  </si>
  <si>
    <t>Pour corriger cela, cliquez sur le triangle gris dans le coin supérieur gauche entre la ligne 1 et la colonne A, puis sélectionnez Home, Cells, Format, Autofit Row Height</t>
  </si>
  <si>
    <t>Para corregir esto, haga clic en el triángulo gris en la esquina superior izquierda entre la fila 1 y la columna A, luego seleccione Inicio, Celdas, Formato, Ajuste automático de altura de fila</t>
  </si>
  <si>
    <t>Para corrigir isso, clique no triângulo cinza no canto superior esquerdo entre a linha 1 e a coluna A e selecione Início, Células, Formato, Ajustar automaticamente a altura da linha</t>
  </si>
  <si>
    <t>Changing language can also change the row height, making it difficult to read the information in the blue and red tabs.</t>
  </si>
  <si>
    <t>Alterar o idioma também pode alterar a altura da linha, dificultando a leitura das informações nas guias azul e vermelha.</t>
  </si>
  <si>
    <t>El cambio de idioma también puede cambiar la altura de la fila, lo que dificulta la lectura de la información en las pestañas azul y roja.</t>
  </si>
  <si>
    <t>Le changement de langue peut également modifier la hauteur de la ligne, ce qui rend difficile la lecture des informations dans les onglets bleu et rouge.</t>
  </si>
  <si>
    <t>Repeat this action in each blue and red tab.</t>
  </si>
  <si>
    <t>Répétez cette action dans chaque onglet bleu et rouge.</t>
  </si>
  <si>
    <t>Repita esta acción en cada pestaña azul y roja.</t>
  </si>
  <si>
    <t>Repita esta ação em cada guia azul e vermelha.</t>
  </si>
  <si>
    <t>If no, answer NA to remaining questions</t>
  </si>
  <si>
    <t>Si non, répondez NA aux questions restantes</t>
  </si>
  <si>
    <t>Si no, responda NA en las preguntas restantes</t>
  </si>
  <si>
    <t>2- SYSTÈME D'INFORMATION DE LABORATOIRE (Exclus de la note globale)</t>
  </si>
  <si>
    <t>2- SISTEMA DE INFORMACIÓN DE LABORATORIO (Excluido de la puntuación total)</t>
  </si>
  <si>
    <t>2- SISTEMA DE INFORMAÇÃO LABORATORIAL  (Excluído da pontuação total)</t>
  </si>
  <si>
    <r>
      <t>(</t>
    </r>
    <r>
      <rPr>
        <u/>
        <sz val="10"/>
        <color theme="1"/>
        <rFont val="Calibri"/>
        <family val="2"/>
        <scheme val="minor"/>
      </rPr>
      <t>&lt;</t>
    </r>
    <r>
      <rPr>
        <sz val="10"/>
        <color theme="1"/>
        <rFont val="Calibri"/>
        <family val="2"/>
        <scheme val="minor"/>
      </rPr>
      <t>100, 100-499, 500-1000, &gt;1000, NA)</t>
    </r>
  </si>
  <si>
    <t>System Flags highlight problems with the Hospital System or with National Systems. Lab leadership may need to reach out to Hospital or National leadership for assistance to change</t>
  </si>
  <si>
    <t>Please use this Excel scoring tool in conjunction with the LAARC User Guide and Questionnaire, which includes the questions in a printable format. Available on the CDC website:</t>
  </si>
  <si>
    <t>Veuillez utiliser cet outil de notation Excel en conjonction avec le guide de l'utilisateur et le questionnaire LAARC, qui comprend les questions dans un format imprimable. Disponible sur le site Web du CDC:</t>
  </si>
  <si>
    <t>Utilice esta herramienta de puntuación de Excel junto con la Guía del usuario y el Cuestionario de LAARC, que incluye las preguntas en un formato imprimible. Disponible en el sitio web de los CDC:</t>
  </si>
  <si>
    <t>Use esta ferramenta de pontuação do Excel em conjunto com o Guia do usuário LAARC e o questionário, que inclui as perguntas em formato para impressão. Disponível no site do CDC:</t>
  </si>
  <si>
    <t>Assessor 1 (name and affiliation)</t>
  </si>
  <si>
    <t>Assessor 2 (name and affiliation)</t>
  </si>
  <si>
    <t>Assessor 3 (name and affiliation)</t>
  </si>
  <si>
    <t>Asesor 1 (nombre y afiliación)</t>
  </si>
  <si>
    <t>Asesor 2 (nombre y afiliación)</t>
  </si>
  <si>
    <t>Asesor 3 (nombre y afiliación)</t>
  </si>
  <si>
    <t>Assessor 1 (nome e filiação)</t>
  </si>
  <si>
    <t>Assessor 2 (nome e filiação)</t>
  </si>
  <si>
    <t>Assessor 3 (nome e filiação)</t>
  </si>
  <si>
    <t>Refer to the User Guide for Export instructions. Failure to follow directions will result in major errors.</t>
  </si>
  <si>
    <t>Consulte el Guía del Usuario para obtener instrucciones de exportación. Si no se siguen las instrucciones se producirán errores importantes.</t>
  </si>
  <si>
    <t>Consulte o guia do usuário para obter instruções de exportação. O não cumprimento das instruções resultará em erros graves.</t>
  </si>
  <si>
    <t>Reportez-vous au guide de l'utilisateur pour les instructions d'exportation. Le non-respect des instructions entraînera des erreurs majeures.</t>
  </si>
  <si>
    <t>https://www.cdc.gov/drugresistance/intl-activities/laarc.html</t>
  </si>
  <si>
    <t>LAARC Tool Registration (optional) (https://www.cdc.gov/drugresistance/intl-activities/registration.html)</t>
  </si>
  <si>
    <t>Enregistrement de l'outil LAARC (facultatif) (https://www.cdc.gov/drugresistance/intl-activities/registration.html)</t>
  </si>
  <si>
    <t>Registro de la herramienta LAARC (opcional) (https://www.cdc.gov/drugresistance/intl-activities/registration.html)</t>
  </si>
  <si>
    <t xml:space="preserve">Registro da ferramenta LAARC (opcional) (https://www.cdc.gov/drugresistance/intl-activities/registration.html)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</si>
</sst>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02">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name val="Calibri"/>
      <family val="2"/>
    </font>
    <font>
      <sz val="10"/>
      <name val="Calibri"/>
      <family val="2"/>
    </font>
    <font>
      <b/>
      <sz val="10"/>
      <name val="Calibri"/>
      <family val="2"/>
    </font>
    <font>
      <i/>
      <sz val="10"/>
      <name val="Calibri"/>
      <family val="2"/>
    </font>
    <font>
      <b/>
      <sz val="10"/>
      <color theme="0"/>
      <name val="Calibri"/>
      <family val="2"/>
    </font>
    <font>
      <sz val="10"/>
      <color theme="1"/>
      <name val="Calibri (Body)_x0000_"/>
    </font>
    <font>
      <sz val="10"/>
      <color theme="1"/>
      <name val="Calibri"/>
      <family val="2"/>
    </font>
    <font>
      <sz val="10"/>
      <color theme="1"/>
      <name val="Calibri"/>
      <family val="2"/>
      <scheme val="minor"/>
    </font>
    <font>
      <sz val="8"/>
      <color theme="1"/>
      <name val="Calibri"/>
      <family val="2"/>
    </font>
    <font>
      <b/>
      <sz val="12"/>
      <color theme="4"/>
      <name val="Calibri"/>
      <family val="2"/>
    </font>
    <font>
      <sz val="8"/>
      <color theme="1"/>
      <name val="Calibri"/>
      <family val="2"/>
      <scheme val="minor"/>
    </font>
    <font>
      <i/>
      <sz val="8"/>
      <color theme="1"/>
      <name val="Calibri"/>
      <family val="2"/>
      <scheme val="minor"/>
    </font>
    <font>
      <sz val="10"/>
      <name val="Calibri (Body)_x0000_"/>
    </font>
    <font>
      <i/>
      <sz val="10"/>
      <color theme="1"/>
      <name val="Calibri"/>
      <family val="2"/>
      <scheme val="minor"/>
    </font>
    <font>
      <b/>
      <i/>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12"/>
      <color rgb="FF000000"/>
      <name val="Calibri"/>
      <family val="2"/>
      <scheme val="minor"/>
    </font>
    <font>
      <b/>
      <sz val="12"/>
      <color theme="4"/>
      <name val="Calibri"/>
      <family val="2"/>
      <scheme val="minor"/>
    </font>
    <font>
      <i/>
      <sz val="8"/>
      <color theme="1"/>
      <name val="Calibri"/>
      <family val="2"/>
    </font>
    <font>
      <i/>
      <sz val="9"/>
      <color theme="1"/>
      <name val="Calibri"/>
      <family val="2"/>
      <scheme val="minor"/>
    </font>
    <font>
      <b/>
      <sz val="11"/>
      <color theme="0"/>
      <name val="Calibri"/>
      <family val="2"/>
      <scheme val="minor"/>
    </font>
    <font>
      <b/>
      <sz val="14"/>
      <color theme="1"/>
      <name val="Calibri"/>
      <family val="2"/>
      <scheme val="minor"/>
    </font>
    <font>
      <b/>
      <sz val="10"/>
      <name val="Calibri"/>
      <family val="2"/>
      <scheme val="minor"/>
    </font>
    <font>
      <i/>
      <sz val="10"/>
      <color theme="1"/>
      <name val="Calibri"/>
      <family val="2"/>
    </font>
    <font>
      <b/>
      <sz val="10"/>
      <color theme="1"/>
      <name val="Calibri"/>
      <family val="2"/>
    </font>
    <font>
      <sz val="10"/>
      <color rgb="FFFF0000"/>
      <name val="Calibri"/>
      <family val="2"/>
    </font>
    <font>
      <sz val="12"/>
      <color rgb="FFFF0000"/>
      <name val="Calibri"/>
      <family val="2"/>
      <scheme val="minor"/>
    </font>
    <font>
      <sz val="10"/>
      <color rgb="FFFF0000"/>
      <name val="Calibri"/>
      <family val="2"/>
      <scheme val="minor"/>
    </font>
    <font>
      <sz val="10"/>
      <color rgb="FF0070C0"/>
      <name val="Calibri"/>
      <family val="2"/>
      <scheme val="minor"/>
    </font>
    <font>
      <sz val="12"/>
      <color rgb="FF0070C0"/>
      <name val="Calibri"/>
      <family val="2"/>
      <scheme val="minor"/>
    </font>
    <font>
      <sz val="11"/>
      <name val="Calibri"/>
      <family val="2"/>
      <scheme val="minor"/>
    </font>
    <font>
      <i/>
      <sz val="10"/>
      <name val="Calibri"/>
      <family val="2"/>
      <scheme val="minor"/>
    </font>
    <font>
      <u/>
      <sz val="12"/>
      <color theme="10"/>
      <name val="Calibri"/>
      <family val="2"/>
      <scheme val="minor"/>
    </font>
    <font>
      <u/>
      <sz val="12"/>
      <color theme="11"/>
      <name val="Calibri"/>
      <family val="2"/>
      <scheme val="minor"/>
    </font>
    <font>
      <sz val="9"/>
      <color theme="1"/>
      <name val="Calibri"/>
      <family val="2"/>
      <scheme val="minor"/>
    </font>
    <font>
      <sz val="10"/>
      <color theme="0"/>
      <name val="Calibri"/>
      <family val="2"/>
    </font>
    <font>
      <sz val="8"/>
      <name val="Calibri"/>
      <family val="2"/>
    </font>
    <font>
      <b/>
      <sz val="10"/>
      <color indexed="9"/>
      <name val="Calibri"/>
      <family val="2"/>
    </font>
    <font>
      <u/>
      <sz val="10"/>
      <color theme="10"/>
      <name val="Calibri"/>
      <family val="2"/>
      <scheme val="minor"/>
    </font>
    <font>
      <sz val="8"/>
      <name val="Calibri"/>
      <family val="2"/>
      <scheme val="minor"/>
    </font>
    <font>
      <b/>
      <sz val="12"/>
      <color theme="0"/>
      <name val="Calibri"/>
      <family val="2"/>
      <scheme val="minor"/>
    </font>
    <font>
      <sz val="12"/>
      <color theme="1"/>
      <name val="Calibri (Body)_x0000_"/>
    </font>
    <font>
      <b/>
      <sz val="12"/>
      <color rgb="FFFF0000"/>
      <name val="Calibri"/>
      <family val="2"/>
      <scheme val="minor"/>
    </font>
    <font>
      <b/>
      <i/>
      <sz val="10"/>
      <name val="Calibri"/>
      <family val="2"/>
    </font>
    <font>
      <b/>
      <sz val="12"/>
      <color theme="5"/>
      <name val="Calibri"/>
      <family val="2"/>
      <scheme val="minor"/>
    </font>
    <font>
      <b/>
      <sz val="10"/>
      <color theme="5"/>
      <name val="Calibri"/>
      <family val="2"/>
      <scheme val="minor"/>
    </font>
    <font>
      <i/>
      <sz val="10"/>
      <color rgb="FFFF0000"/>
      <name val="Calibri"/>
      <family val="2"/>
    </font>
    <font>
      <b/>
      <sz val="9"/>
      <color theme="1"/>
      <name val="Calibri"/>
      <family val="2"/>
      <scheme val="minor"/>
    </font>
    <font>
      <u/>
      <sz val="9"/>
      <color theme="1"/>
      <name val="Calibri"/>
      <family val="2"/>
      <scheme val="minor"/>
    </font>
    <font>
      <sz val="11"/>
      <color rgb="FF006100"/>
      <name val="Calibri"/>
      <family val="2"/>
      <scheme val="minor"/>
    </font>
    <font>
      <sz val="12"/>
      <name val="Calibri"/>
      <family val="2"/>
      <scheme val="minor"/>
    </font>
    <font>
      <b/>
      <sz val="12"/>
      <name val="Calibri"/>
      <family val="2"/>
      <scheme val="minor"/>
    </font>
    <font>
      <sz val="11"/>
      <color rgb="FF9C0006"/>
      <name val="Calibri"/>
      <family val="2"/>
      <scheme val="minor"/>
    </font>
    <font>
      <sz val="11"/>
      <color rgb="FF9C6500"/>
      <name val="Calibri"/>
      <family val="2"/>
      <scheme val="minor"/>
    </font>
    <font>
      <b/>
      <sz val="10"/>
      <color rgb="FF9C0006"/>
      <name val="Calibri"/>
      <family val="2"/>
      <scheme val="minor"/>
    </font>
    <font>
      <b/>
      <sz val="10"/>
      <color rgb="FF006100"/>
      <name val="Calibri"/>
      <family val="2"/>
      <scheme val="minor"/>
    </font>
    <font>
      <b/>
      <sz val="10"/>
      <color rgb="FF9C6500"/>
      <name val="Calibri"/>
      <family val="2"/>
      <scheme val="minor"/>
    </font>
    <font>
      <b/>
      <sz val="11"/>
      <color theme="1"/>
      <name val="Calibri"/>
      <family val="2"/>
      <scheme val="minor"/>
    </font>
    <font>
      <i/>
      <sz val="8"/>
      <name val="Calibri"/>
      <family val="2"/>
      <scheme val="minor"/>
    </font>
    <font>
      <b/>
      <sz val="10"/>
      <name val="Calibri (Body)_x0000_"/>
    </font>
    <font>
      <sz val="10"/>
      <name val="Calibri (Body)"/>
    </font>
    <font>
      <sz val="12"/>
      <color rgb="FF00B0F0"/>
      <name val="Calibri"/>
      <family val="2"/>
      <scheme val="minor"/>
    </font>
    <font>
      <b/>
      <sz val="11"/>
      <color rgb="FF00B0F0"/>
      <name val="Calibri"/>
      <family val="2"/>
      <scheme val="minor"/>
    </font>
    <font>
      <b/>
      <sz val="12"/>
      <color rgb="FF00B0F0"/>
      <name val="Calibri"/>
      <family val="2"/>
      <scheme val="minor"/>
    </font>
    <font>
      <sz val="12"/>
      <color theme="0"/>
      <name val="Calibri"/>
      <family val="2"/>
      <scheme val="minor"/>
    </font>
    <font>
      <i/>
      <sz val="12"/>
      <color theme="1"/>
      <name val="Calibri"/>
      <family val="2"/>
      <scheme val="minor"/>
    </font>
    <font>
      <b/>
      <sz val="10"/>
      <color theme="0"/>
      <name val="Calibri (Body)_x0000_"/>
    </font>
    <font>
      <sz val="10"/>
      <color rgb="FF00B0F0"/>
      <name val="Calibri"/>
      <family val="2"/>
    </font>
    <font>
      <b/>
      <i/>
      <sz val="11"/>
      <color theme="1"/>
      <name val="Calibri"/>
      <family val="2"/>
      <scheme val="minor"/>
    </font>
    <font>
      <sz val="10"/>
      <color rgb="FF00B0F0"/>
      <name val="Calibri"/>
      <family val="2"/>
      <scheme val="minor"/>
    </font>
    <font>
      <i/>
      <sz val="9"/>
      <name val="Calibri"/>
      <family val="2"/>
      <scheme val="minor"/>
    </font>
    <font>
      <sz val="10"/>
      <color theme="0"/>
      <name val="Calibri"/>
      <family val="2"/>
      <scheme val="minor"/>
    </font>
    <font>
      <b/>
      <sz val="10"/>
      <name val="Calibri (Body)"/>
    </font>
    <font>
      <b/>
      <sz val="10"/>
      <color theme="4"/>
      <name val="Calibri"/>
      <family val="2"/>
      <scheme val="minor"/>
    </font>
    <font>
      <b/>
      <i/>
      <sz val="10.5"/>
      <color rgb="FF1F497D"/>
      <name val="Calibri"/>
      <family val="2"/>
      <scheme val="minor"/>
    </font>
    <font>
      <b/>
      <sz val="18"/>
      <color rgb="FF4472C4"/>
      <name val="Calibri"/>
      <family val="2"/>
      <scheme val="minor"/>
    </font>
    <font>
      <b/>
      <sz val="32"/>
      <color rgb="FF4472C4"/>
      <name val="Calibri"/>
      <family val="2"/>
      <scheme val="minor"/>
    </font>
    <font>
      <sz val="10"/>
      <color rgb="FF000000"/>
      <name val="Calibri"/>
      <family val="2"/>
      <scheme val="minor"/>
    </font>
    <font>
      <sz val="10"/>
      <color indexed="9"/>
      <name val="Calibri"/>
      <family val="2"/>
      <scheme val="minor"/>
    </font>
    <font>
      <b/>
      <sz val="14"/>
      <name val="Calibri"/>
      <family val="2"/>
      <scheme val="minor"/>
    </font>
    <font>
      <b/>
      <sz val="8"/>
      <color theme="0"/>
      <name val="Calibri"/>
      <family val="2"/>
      <scheme val="minor"/>
    </font>
    <font>
      <b/>
      <sz val="32"/>
      <color theme="4"/>
      <name val="Calibri"/>
      <family val="2"/>
      <scheme val="minor"/>
    </font>
    <font>
      <b/>
      <sz val="9"/>
      <color theme="1"/>
      <name val="Calibri"/>
      <family val="2"/>
    </font>
    <font>
      <b/>
      <sz val="10"/>
      <color rgb="FF000000"/>
      <name val="Calibri"/>
      <family val="2"/>
      <scheme val="minor"/>
    </font>
    <font>
      <sz val="10"/>
      <color theme="1"/>
      <name val="Calibri (Body)"/>
    </font>
    <font>
      <vertAlign val="subscript"/>
      <sz val="10"/>
      <color theme="1"/>
      <name val="Calibri"/>
      <family val="2"/>
      <scheme val="minor"/>
    </font>
    <font>
      <sz val="10"/>
      <color rgb="FF222222"/>
      <name val="Calibri"/>
      <family val="2"/>
      <scheme val="minor"/>
    </font>
    <font>
      <b/>
      <i/>
      <sz val="10"/>
      <color rgb="FF0070C0"/>
      <name val="Calibri"/>
      <family val="2"/>
      <scheme val="minor"/>
    </font>
    <font>
      <b/>
      <sz val="10"/>
      <color theme="8" tint="-0.249977111117893"/>
      <name val="Calibri"/>
      <family val="2"/>
      <scheme val="minor"/>
    </font>
    <font>
      <b/>
      <sz val="10"/>
      <color rgb="FF0070C0"/>
      <name val="Calibri"/>
      <family val="2"/>
      <scheme val="minor"/>
    </font>
    <font>
      <b/>
      <sz val="11"/>
      <name val="Calibri"/>
      <family val="2"/>
    </font>
    <font>
      <u/>
      <sz val="10"/>
      <color theme="1"/>
      <name val="Calibri"/>
      <family val="2"/>
      <scheme val="minor"/>
    </font>
    <font>
      <u/>
      <sz val="10"/>
      <color rgb="FF000000"/>
      <name val="Calibri"/>
      <family val="2"/>
      <scheme val="minor"/>
    </font>
    <font>
      <b/>
      <sz val="11"/>
      <color theme="4"/>
      <name val="Calibri"/>
      <family val="2"/>
      <scheme val="minor"/>
    </font>
    <font>
      <u/>
      <sz val="11"/>
      <color theme="10"/>
      <name val="Calibri"/>
      <family val="2"/>
      <scheme val="minor"/>
    </font>
  </fonts>
  <fills count="24">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gray0625">
        <fgColor indexed="22"/>
      </patternFill>
    </fill>
    <fill>
      <patternFill patternType="solid">
        <fgColor theme="6" tint="0.39997558519241921"/>
        <bgColor indexed="64"/>
      </patternFill>
    </fill>
    <fill>
      <patternFill patternType="solid">
        <fgColor theme="2"/>
        <bgColor indexed="64"/>
      </patternFill>
    </fill>
    <fill>
      <patternFill patternType="solid">
        <fgColor theme="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rgb="FFBFBFBF"/>
        <bgColor indexed="64"/>
      </patternFill>
    </fill>
    <fill>
      <patternFill patternType="solid">
        <fgColor rgb="FFF2F2F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1" tint="0.34998626667073579"/>
        <bgColor indexed="64"/>
      </patternFill>
    </fill>
    <fill>
      <patternFill patternType="solid">
        <fgColor theme="1"/>
        <bgColor indexed="22"/>
      </patternFill>
    </fill>
    <fill>
      <patternFill patternType="solid">
        <fgColor rgb="FFFFFF00"/>
        <bgColor indexed="64"/>
      </patternFill>
    </fill>
    <fill>
      <patternFill patternType="solid">
        <fgColor theme="0"/>
        <bgColor indexed="64"/>
      </patternFill>
    </fill>
    <fill>
      <patternFill patternType="solid">
        <fgColor rgb="FFFFFF00"/>
        <bgColor indexed="31"/>
      </patternFill>
    </fill>
    <fill>
      <patternFill patternType="solid">
        <fgColor theme="8" tint="0.79998168889431442"/>
        <bgColor indexed="64"/>
      </patternFill>
    </fill>
    <fill>
      <patternFill patternType="solid">
        <fgColor theme="4" tint="0.79998168889431442"/>
        <bgColor indexed="64"/>
      </patternFill>
    </fill>
  </fills>
  <borders count="66">
    <border>
      <left/>
      <right/>
      <top/>
      <bottom/>
      <diagonal/>
    </border>
    <border>
      <left style="medium">
        <color auto="1"/>
      </left>
      <right style="medium">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theme="0"/>
      </left>
      <right style="thin">
        <color theme="0"/>
      </right>
      <top/>
      <bottom style="thin">
        <color auto="1"/>
      </bottom>
      <diagonal/>
    </border>
    <border>
      <left style="thin">
        <color theme="0"/>
      </left>
      <right style="thin">
        <color theme="0"/>
      </right>
      <top/>
      <bottom/>
      <diagonal/>
    </border>
    <border>
      <left/>
      <right/>
      <top style="medium">
        <color auto="1"/>
      </top>
      <bottom style="thin">
        <color auto="1"/>
      </bottom>
      <diagonal/>
    </border>
    <border>
      <left style="thin">
        <color theme="0"/>
      </left>
      <right style="thin">
        <color theme="0"/>
      </right>
      <top style="thin">
        <color auto="1"/>
      </top>
      <bottom/>
      <diagonal/>
    </border>
    <border>
      <left/>
      <right style="thin">
        <color theme="0"/>
      </right>
      <top/>
      <bottom/>
      <diagonal/>
    </border>
    <border>
      <left style="thin">
        <color theme="0"/>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32">
    <xf numFmtId="0" fontId="0" fillId="0" borderId="0"/>
    <xf numFmtId="9" fontId="3"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6" fillId="14" borderId="0" applyNumberFormat="0" applyBorder="0" applyAlignment="0" applyProtection="0"/>
    <xf numFmtId="0" fontId="59" fillId="15" borderId="0" applyNumberFormat="0" applyBorder="0" applyAlignment="0" applyProtection="0"/>
    <xf numFmtId="0" fontId="60" fillId="16"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cellStyleXfs>
  <cellXfs count="679">
    <xf numFmtId="0" fontId="0" fillId="0" borderId="0" xfId="0"/>
    <xf numFmtId="0" fontId="4" fillId="0" borderId="0" xfId="0" applyFont="1"/>
    <xf numFmtId="0" fontId="6" fillId="0" borderId="0" xfId="0" applyFont="1" applyBorder="1"/>
    <xf numFmtId="9" fontId="6" fillId="0" borderId="0" xfId="1" applyFont="1" applyBorder="1" applyAlignment="1">
      <alignment horizontal="center"/>
    </xf>
    <xf numFmtId="0" fontId="11" fillId="0" borderId="0" xfId="0" applyFont="1"/>
    <xf numFmtId="0" fontId="12" fillId="0" borderId="0" xfId="0" applyFont="1"/>
    <xf numFmtId="0" fontId="13" fillId="0" borderId="0" xfId="0" applyFont="1" applyAlignment="1">
      <alignment horizontal="center" vertical="center"/>
    </xf>
    <xf numFmtId="0" fontId="6" fillId="0" borderId="0" xfId="0" applyFont="1" applyAlignment="1">
      <alignment horizontal="left" vertical="center" wrapText="1"/>
    </xf>
    <xf numFmtId="0" fontId="12" fillId="0" borderId="0" xfId="0" applyFont="1" applyAlignment="1">
      <alignment vertical="center" wrapText="1"/>
    </xf>
    <xf numFmtId="0" fontId="11" fillId="0" borderId="0" xfId="0" applyFont="1" applyAlignment="1">
      <alignment horizontal="center"/>
    </xf>
    <xf numFmtId="0" fontId="13" fillId="0" borderId="5" xfId="0" applyFont="1" applyBorder="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center" vertical="center"/>
    </xf>
    <xf numFmtId="0" fontId="12" fillId="0" borderId="0" xfId="0" applyFont="1" applyAlignment="1">
      <alignment vertical="center"/>
    </xf>
    <xf numFmtId="0" fontId="9" fillId="3" borderId="0" xfId="0" applyFont="1" applyFill="1" applyBorder="1" applyAlignment="1">
      <alignment vertical="center" wrapText="1"/>
    </xf>
    <xf numFmtId="0" fontId="12" fillId="0" borderId="0" xfId="0" applyFont="1" applyAlignment="1">
      <alignment horizontal="center" vertical="center"/>
    </xf>
    <xf numFmtId="0" fontId="15" fillId="0" borderId="5" xfId="0" applyFont="1" applyBorder="1" applyAlignment="1">
      <alignment horizontal="center" vertical="center"/>
    </xf>
    <xf numFmtId="0" fontId="12" fillId="0" borderId="0" xfId="0" applyFont="1" applyAlignment="1">
      <alignment horizontal="left" vertical="center" indent="1"/>
    </xf>
    <xf numFmtId="9" fontId="7" fillId="0" borderId="0" xfId="1"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0" fillId="0" borderId="0" xfId="0" applyFont="1" applyAlignment="1">
      <alignment horizontal="left" vertical="center"/>
    </xf>
    <xf numFmtId="0" fontId="0" fillId="0" borderId="0" xfId="0" applyAlignment="1">
      <alignment vertical="center"/>
    </xf>
    <xf numFmtId="0" fontId="6" fillId="0" borderId="0" xfId="0" applyFont="1" applyBorder="1" applyAlignment="1">
      <alignment horizontal="center" vertical="center"/>
    </xf>
    <xf numFmtId="0" fontId="20" fillId="0" borderId="0" xfId="0" applyFont="1" applyAlignment="1">
      <alignment vertical="center" wrapText="1"/>
    </xf>
    <xf numFmtId="0" fontId="12" fillId="0" borderId="0" xfId="0" applyFont="1" applyFill="1" applyAlignment="1">
      <alignment horizontal="center" vertical="center"/>
    </xf>
    <xf numFmtId="0" fontId="12" fillId="0" borderId="0" xfId="0" applyFont="1" applyAlignment="1">
      <alignment wrapText="1"/>
    </xf>
    <xf numFmtId="0" fontId="6" fillId="2" borderId="0" xfId="0" applyFont="1" applyFill="1" applyBorder="1" applyAlignment="1" applyProtection="1">
      <alignment horizontal="center" vertical="center" wrapText="1"/>
      <protection locked="0"/>
    </xf>
    <xf numFmtId="0" fontId="0" fillId="0" borderId="0" xfId="0" applyAlignment="1">
      <alignment vertical="center" wrapText="1"/>
    </xf>
    <xf numFmtId="0" fontId="6" fillId="0" borderId="0" xfId="0" applyFont="1" applyBorder="1" applyAlignment="1">
      <alignment horizontal="center" vertical="center" wrapText="1"/>
    </xf>
    <xf numFmtId="0" fontId="0" fillId="0" borderId="0" xfId="0" applyAlignment="1">
      <alignment wrapText="1"/>
    </xf>
    <xf numFmtId="9" fontId="10" fillId="0" borderId="0" xfId="0" applyNumberFormat="1" applyFont="1" applyFill="1" applyBorder="1" applyAlignment="1">
      <alignment horizontal="center" vertical="center" wrapText="1"/>
    </xf>
    <xf numFmtId="0" fontId="6" fillId="2" borderId="0" xfId="0" applyNumberFormat="1" applyFont="1" applyFill="1" applyBorder="1" applyAlignment="1" applyProtection="1">
      <alignment horizontal="center" vertical="center" wrapText="1"/>
      <protection locked="0"/>
    </xf>
    <xf numFmtId="0" fontId="19" fillId="0" borderId="0" xfId="0" applyFont="1" applyAlignment="1">
      <alignment vertical="center" wrapText="1"/>
    </xf>
    <xf numFmtId="0" fontId="21" fillId="3" borderId="0" xfId="0" applyFont="1" applyFill="1" applyBorder="1" applyAlignment="1">
      <alignment vertical="center" wrapText="1"/>
    </xf>
    <xf numFmtId="0" fontId="12" fillId="0" borderId="0" xfId="0" applyFont="1" applyAlignment="1">
      <alignment horizontal="left" vertical="center" wrapText="1" indent="2"/>
    </xf>
    <xf numFmtId="0" fontId="18" fillId="0" borderId="0" xfId="0" applyFont="1" applyAlignment="1">
      <alignment horizontal="left" vertical="center" wrapText="1" indent="2"/>
    </xf>
    <xf numFmtId="0" fontId="12" fillId="0" borderId="0" xfId="0" applyFont="1" applyAlignment="1">
      <alignment horizontal="left" vertical="center" wrapText="1" indent="1"/>
    </xf>
    <xf numFmtId="0" fontId="0" fillId="0" borderId="0" xfId="0" applyBorder="1"/>
    <xf numFmtId="0" fontId="23" fillId="0" borderId="0" xfId="0" applyFont="1"/>
    <xf numFmtId="0" fontId="22" fillId="0" borderId="0" xfId="0" applyFont="1" applyAlignment="1">
      <alignment horizontal="center" vertical="center" wrapText="1"/>
    </xf>
    <xf numFmtId="0" fontId="12" fillId="0" borderId="0" xfId="0" applyFont="1" applyAlignment="1">
      <alignment horizontal="left" vertical="top" wrapText="1"/>
    </xf>
    <xf numFmtId="0" fontId="12" fillId="0" borderId="0" xfId="0" applyFont="1" applyBorder="1" applyAlignment="1">
      <alignment vertical="center"/>
    </xf>
    <xf numFmtId="0" fontId="24" fillId="0" borderId="0" xfId="0" applyFont="1" applyAlignment="1">
      <alignment horizontal="left" vertical="center" wrapText="1"/>
    </xf>
    <xf numFmtId="9" fontId="10" fillId="7" borderId="0" xfId="0" applyNumberFormat="1" applyFont="1" applyFill="1" applyBorder="1" applyAlignment="1">
      <alignment horizontal="center" vertical="center" wrapText="1"/>
    </xf>
    <xf numFmtId="0" fontId="20" fillId="0" borderId="0" xfId="0" applyFont="1" applyAlignment="1">
      <alignment horizontal="left" vertical="center" wrapText="1"/>
    </xf>
    <xf numFmtId="0" fontId="6" fillId="8" borderId="0" xfId="0" applyFont="1" applyFill="1" applyBorder="1" applyAlignment="1" applyProtection="1">
      <alignment horizontal="center" vertical="center" wrapText="1"/>
      <protection locked="0"/>
    </xf>
    <xf numFmtId="9" fontId="10" fillId="7" borderId="0" xfId="0" applyNumberFormat="1" applyFont="1" applyFill="1" applyBorder="1" applyAlignment="1">
      <alignment horizontal="center" vertical="center"/>
    </xf>
    <xf numFmtId="0" fontId="18" fillId="0" borderId="0" xfId="0" applyFont="1" applyAlignment="1">
      <alignment horizontal="left" vertical="center" wrapText="1"/>
    </xf>
    <xf numFmtId="0" fontId="16" fillId="0" borderId="0" xfId="0" applyFont="1" applyAlignment="1">
      <alignment horizontal="left" vertical="center" wrapText="1" indent="1"/>
    </xf>
    <xf numFmtId="0" fontId="27" fillId="3" borderId="0" xfId="0" applyFont="1" applyFill="1" applyBorder="1" applyAlignment="1">
      <alignment vertical="center" wrapText="1"/>
    </xf>
    <xf numFmtId="0" fontId="18" fillId="0" borderId="0" xfId="0" applyFont="1" applyAlignment="1">
      <alignment horizontal="left" vertical="center" indent="1"/>
    </xf>
    <xf numFmtId="9" fontId="24" fillId="0" borderId="0" xfId="1" applyFont="1" applyAlignment="1">
      <alignment horizontal="center" vertical="center" wrapText="1"/>
    </xf>
    <xf numFmtId="0" fontId="0" fillId="0" borderId="0" xfId="0" applyFill="1"/>
    <xf numFmtId="0" fontId="11" fillId="0" borderId="0" xfId="0" applyFont="1" applyAlignment="1">
      <alignment horizontal="left" vertical="center" wrapText="1"/>
    </xf>
    <xf numFmtId="0" fontId="6" fillId="0" borderId="0" xfId="0" applyFont="1" applyFill="1" applyBorder="1" applyAlignment="1" applyProtection="1">
      <alignment horizontal="left" vertical="center" wrapText="1" indent="1"/>
      <protection locked="0"/>
    </xf>
    <xf numFmtId="0" fontId="12" fillId="0" borderId="0" xfId="0" applyFont="1" applyBorder="1" applyAlignment="1">
      <alignment vertical="center" wrapText="1"/>
    </xf>
    <xf numFmtId="0" fontId="18" fillId="0" borderId="0" xfId="0" applyNumberFormat="1" applyFont="1" applyAlignment="1">
      <alignment horizontal="left" vertical="center" wrapText="1" indent="1"/>
    </xf>
    <xf numFmtId="0" fontId="24" fillId="0" borderId="0" xfId="0" applyFont="1" applyFill="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8" fillId="0" borderId="0" xfId="0" applyFont="1" applyAlignment="1">
      <alignment vertical="center" wrapText="1"/>
    </xf>
    <xf numFmtId="0" fontId="32" fillId="0" borderId="0" xfId="0" applyFont="1"/>
    <xf numFmtId="0" fontId="33" fillId="0" borderId="0" xfId="0" applyFont="1"/>
    <xf numFmtId="0" fontId="34" fillId="0" borderId="0" xfId="0" applyFont="1" applyAlignment="1">
      <alignment vertical="center"/>
    </xf>
    <xf numFmtId="0" fontId="22" fillId="0" borderId="0" xfId="0" applyFont="1"/>
    <xf numFmtId="0" fontId="6" fillId="2" borderId="0" xfId="0" applyFont="1" applyFill="1" applyBorder="1" applyAlignment="1" applyProtection="1">
      <alignment horizontal="center"/>
      <protection locked="0"/>
    </xf>
    <xf numFmtId="0" fontId="6" fillId="0" borderId="0" xfId="0" applyFont="1" applyAlignment="1"/>
    <xf numFmtId="0" fontId="6" fillId="0" borderId="0" xfId="0" applyFont="1" applyFill="1" applyBorder="1" applyAlignment="1">
      <alignment horizontal="center" vertical="center" wrapText="1"/>
    </xf>
    <xf numFmtId="0" fontId="38" fillId="0" borderId="0" xfId="0" applyFont="1" applyAlignment="1">
      <alignment horizontal="left" vertical="center" wrapText="1" indent="1"/>
    </xf>
    <xf numFmtId="0" fontId="32" fillId="0" borderId="0" xfId="0" applyFont="1" applyAlignment="1">
      <alignment horizontal="left" vertical="center" wrapText="1"/>
    </xf>
    <xf numFmtId="0" fontId="6" fillId="0" borderId="0" xfId="0" applyFont="1" applyFill="1" applyBorder="1" applyAlignment="1" applyProtection="1">
      <alignment horizontal="center" vertical="center" wrapText="1"/>
      <protection locked="0"/>
    </xf>
    <xf numFmtId="0" fontId="22" fillId="0" borderId="0" xfId="0" applyFont="1" applyAlignment="1">
      <alignment vertical="center" wrapText="1"/>
    </xf>
    <xf numFmtId="9" fontId="10" fillId="7" borderId="11" xfId="0" applyNumberFormat="1" applyFont="1" applyFill="1" applyBorder="1" applyAlignment="1">
      <alignment horizontal="center" vertical="center" wrapText="1"/>
    </xf>
    <xf numFmtId="0" fontId="21" fillId="7" borderId="0" xfId="0" applyFont="1" applyFill="1" applyAlignment="1">
      <alignment vertical="center" wrapText="1"/>
    </xf>
    <xf numFmtId="9" fontId="10" fillId="11" borderId="11" xfId="0" applyNumberFormat="1" applyFont="1" applyFill="1" applyBorder="1" applyAlignment="1">
      <alignment horizontal="center" vertical="center" wrapText="1"/>
    </xf>
    <xf numFmtId="0" fontId="21" fillId="7" borderId="0" xfId="0" applyFont="1" applyFill="1" applyAlignment="1">
      <alignment horizontal="left" vertical="center" wrapText="1"/>
    </xf>
    <xf numFmtId="0" fontId="13" fillId="0" borderId="5" xfId="0" quotePrefix="1" applyFont="1" applyBorder="1" applyAlignment="1">
      <alignment horizontal="center" vertical="center"/>
    </xf>
    <xf numFmtId="0" fontId="27" fillId="7" borderId="11" xfId="0" applyFont="1" applyFill="1" applyBorder="1" applyAlignment="1">
      <alignment horizontal="left" vertical="center" wrapText="1"/>
    </xf>
    <xf numFmtId="0" fontId="30" fillId="0" borderId="0" xfId="0" applyFont="1"/>
    <xf numFmtId="9" fontId="10" fillId="7" borderId="1" xfId="0" applyNumberFormat="1" applyFont="1" applyFill="1" applyBorder="1" applyAlignment="1">
      <alignment horizontal="center" vertical="center"/>
    </xf>
    <xf numFmtId="9" fontId="10" fillId="7" borderId="4" xfId="0" applyNumberFormat="1" applyFont="1" applyFill="1" applyBorder="1" applyAlignment="1">
      <alignment horizontal="center" vertical="center"/>
    </xf>
    <xf numFmtId="9" fontId="10" fillId="7" borderId="4" xfId="0" applyNumberFormat="1" applyFont="1" applyFill="1" applyBorder="1" applyAlignment="1">
      <alignment horizontal="center" vertical="center" wrapText="1"/>
    </xf>
    <xf numFmtId="0" fontId="22" fillId="0" borderId="0" xfId="0" applyFont="1" applyAlignment="1">
      <alignment horizontal="left" vertical="center" wrapText="1" indent="1"/>
    </xf>
    <xf numFmtId="0" fontId="27" fillId="7" borderId="11" xfId="0" applyFont="1" applyFill="1" applyBorder="1" applyAlignment="1">
      <alignment vertical="center" wrapText="1"/>
    </xf>
    <xf numFmtId="9" fontId="7" fillId="0" borderId="18" xfId="1" applyFont="1" applyBorder="1" applyAlignment="1">
      <alignment horizontal="center" vertical="center"/>
    </xf>
    <xf numFmtId="9" fontId="10" fillId="7" borderId="1" xfId="0" applyNumberFormat="1" applyFont="1" applyFill="1" applyBorder="1" applyAlignment="1">
      <alignment horizontal="center" vertical="center" wrapText="1"/>
    </xf>
    <xf numFmtId="0" fontId="21" fillId="7" borderId="11" xfId="0" applyFont="1" applyFill="1" applyBorder="1" applyAlignment="1">
      <alignment vertical="center" wrapText="1"/>
    </xf>
    <xf numFmtId="0" fontId="38" fillId="0" borderId="0" xfId="0" applyFont="1" applyFill="1" applyAlignment="1">
      <alignment horizontal="left" vertical="center" wrapText="1"/>
    </xf>
    <xf numFmtId="0" fontId="12" fillId="0" borderId="18" xfId="0" applyFont="1" applyBorder="1" applyAlignment="1">
      <alignment horizontal="center" vertical="center"/>
    </xf>
    <xf numFmtId="0" fontId="12" fillId="0" borderId="0" xfId="0" applyFont="1" applyAlignment="1">
      <alignment horizontal="left" vertical="center"/>
    </xf>
    <xf numFmtId="9" fontId="6" fillId="0" borderId="0" xfId="1" applyFont="1" applyAlignment="1">
      <alignment horizontal="center" vertical="center"/>
    </xf>
    <xf numFmtId="9" fontId="7" fillId="0" borderId="0" xfId="1" applyFont="1" applyAlignment="1">
      <alignment horizontal="center" vertical="center" wrapText="1"/>
    </xf>
    <xf numFmtId="0" fontId="22" fillId="0" borderId="0" xfId="0" applyFont="1" applyFill="1" applyAlignment="1">
      <alignment vertical="center"/>
    </xf>
    <xf numFmtId="0" fontId="12" fillId="0" borderId="0" xfId="0" applyFont="1" applyAlignment="1">
      <alignment horizontal="left" wrapText="1"/>
    </xf>
    <xf numFmtId="0" fontId="9" fillId="7" borderId="0" xfId="0" applyFont="1" applyFill="1" applyAlignment="1">
      <alignment horizontal="left" vertical="center" wrapText="1"/>
    </xf>
    <xf numFmtId="0" fontId="42" fillId="7" borderId="0" xfId="0" applyFont="1" applyFill="1" applyAlignment="1">
      <alignment horizontal="center"/>
    </xf>
    <xf numFmtId="9" fontId="6" fillId="3" borderId="0" xfId="0" applyNumberFormat="1" applyFont="1" applyFill="1" applyAlignment="1">
      <alignment horizontal="center" vertical="center"/>
    </xf>
    <xf numFmtId="0" fontId="6" fillId="0" borderId="0" xfId="0" applyFont="1" applyFill="1"/>
    <xf numFmtId="0" fontId="6" fillId="0" borderId="0" xfId="0" applyFont="1"/>
    <xf numFmtId="0" fontId="6" fillId="0" borderId="0" xfId="0" applyFont="1" applyFill="1" applyBorder="1" applyAlignment="1">
      <alignment horizontal="center" vertical="center"/>
    </xf>
    <xf numFmtId="0" fontId="6" fillId="0" borderId="25" xfId="0" applyFont="1" applyFill="1" applyBorder="1" applyAlignment="1">
      <alignment horizontal="center" vertical="center" wrapText="1"/>
    </xf>
    <xf numFmtId="0" fontId="43" fillId="0" borderId="5" xfId="0" applyFont="1" applyBorder="1" applyAlignment="1">
      <alignment horizontal="center"/>
    </xf>
    <xf numFmtId="0" fontId="6" fillId="0" borderId="0" xfId="0" applyFont="1" applyBorder="1" applyAlignment="1">
      <alignment vertical="center"/>
    </xf>
    <xf numFmtId="0" fontId="6" fillId="0" borderId="0" xfId="0" applyFont="1" applyFill="1" applyBorder="1" applyAlignment="1">
      <alignment vertical="center"/>
    </xf>
    <xf numFmtId="0" fontId="44" fillId="3" borderId="0" xfId="0" applyFont="1" applyFill="1" applyAlignment="1">
      <alignment vertical="center" wrapText="1"/>
    </xf>
    <xf numFmtId="0" fontId="6" fillId="0" borderId="27" xfId="0" applyFont="1" applyFill="1" applyBorder="1" applyAlignment="1">
      <alignment horizontal="center" vertical="center" wrapText="1"/>
    </xf>
    <xf numFmtId="0" fontId="12" fillId="0" borderId="0" xfId="0" applyFont="1" applyAlignment="1">
      <alignment horizontal="center"/>
    </xf>
    <xf numFmtId="9" fontId="12" fillId="0" borderId="0" xfId="0" applyNumberFormat="1" applyFont="1" applyAlignment="1">
      <alignment vertical="center"/>
    </xf>
    <xf numFmtId="0" fontId="6" fillId="5" borderId="0" xfId="0" applyFont="1" applyFill="1" applyBorder="1" applyAlignment="1" applyProtection="1">
      <alignment horizontal="center" vertical="center" wrapText="1"/>
      <protection locked="0"/>
    </xf>
    <xf numFmtId="0" fontId="6" fillId="0" borderId="0" xfId="0" applyFont="1" applyBorder="1" applyAlignment="1">
      <alignment horizontal="left" vertical="center" indent="1"/>
    </xf>
    <xf numFmtId="0" fontId="6" fillId="0" borderId="0" xfId="0" applyFont="1" applyBorder="1" applyAlignment="1">
      <alignment horizontal="left" vertical="center" wrapText="1" indent="1"/>
    </xf>
    <xf numFmtId="9" fontId="0" fillId="0" borderId="0" xfId="0" applyNumberFormat="1" applyAlignment="1">
      <alignment horizontal="center"/>
    </xf>
    <xf numFmtId="0" fontId="9" fillId="3" borderId="4" xfId="0" applyFont="1" applyFill="1" applyBorder="1" applyAlignment="1">
      <alignment vertical="center" wrapText="1"/>
    </xf>
    <xf numFmtId="0" fontId="9" fillId="3" borderId="25" xfId="0" applyFont="1" applyFill="1" applyBorder="1" applyAlignment="1">
      <alignment vertical="center" wrapText="1"/>
    </xf>
    <xf numFmtId="0" fontId="21" fillId="3" borderId="25" xfId="0" applyFont="1" applyFill="1" applyBorder="1" applyAlignment="1">
      <alignment vertical="center" wrapText="1"/>
    </xf>
    <xf numFmtId="0" fontId="31" fillId="0" borderId="23" xfId="0" applyFont="1" applyBorder="1" applyAlignment="1">
      <alignment horizontal="left" vertical="center" wrapText="1"/>
    </xf>
    <xf numFmtId="0" fontId="7" fillId="0" borderId="33" xfId="0" applyFont="1" applyFill="1" applyBorder="1" applyAlignment="1">
      <alignment vertical="center" wrapText="1"/>
    </xf>
    <xf numFmtId="0" fontId="7" fillId="0" borderId="25" xfId="0" applyFont="1" applyFill="1" applyBorder="1" applyAlignment="1">
      <alignment vertical="center" wrapText="1"/>
    </xf>
    <xf numFmtId="0" fontId="13" fillId="0" borderId="5" xfId="0" applyFont="1" applyFill="1" applyBorder="1" applyAlignment="1">
      <alignment horizontal="center" vertical="center"/>
    </xf>
    <xf numFmtId="0" fontId="13" fillId="0" borderId="5" xfId="0" quotePrefix="1" applyFont="1" applyFill="1" applyBorder="1" applyAlignment="1">
      <alignment horizontal="center" vertical="center"/>
    </xf>
    <xf numFmtId="0" fontId="52" fillId="0" borderId="0" xfId="0" applyFont="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right" vertical="center" wrapText="1"/>
    </xf>
    <xf numFmtId="0" fontId="0" fillId="0" borderId="0" xfId="0" applyFill="1" applyAlignment="1">
      <alignment horizontal="center" wrapText="1"/>
    </xf>
    <xf numFmtId="1" fontId="6" fillId="0" borderId="0" xfId="1" applyNumberFormat="1" applyFont="1" applyFill="1" applyAlignment="1">
      <alignment horizontal="center" vertical="center"/>
    </xf>
    <xf numFmtId="9" fontId="22" fillId="0" borderId="0" xfId="1" applyFont="1" applyFill="1" applyAlignment="1">
      <alignment horizontal="center"/>
    </xf>
    <xf numFmtId="0" fontId="0" fillId="0" borderId="0" xfId="0" applyFont="1" applyFill="1"/>
    <xf numFmtId="9" fontId="6" fillId="0" borderId="0" xfId="1" applyFont="1" applyFill="1" applyAlignment="1">
      <alignment horizontal="center" vertical="center"/>
    </xf>
    <xf numFmtId="0" fontId="22" fillId="0" borderId="0" xfId="0" applyFont="1" applyAlignment="1">
      <alignment horizontal="left" vertical="center" wrapText="1"/>
    </xf>
    <xf numFmtId="0" fontId="8" fillId="0" borderId="0" xfId="0" applyFont="1" applyAlignment="1">
      <alignment horizontal="left"/>
    </xf>
    <xf numFmtId="0" fontId="38" fillId="0" borderId="0" xfId="0" applyFont="1" applyAlignment="1">
      <alignment vertical="center" wrapText="1"/>
    </xf>
    <xf numFmtId="0" fontId="26" fillId="0" borderId="0" xfId="0" applyFont="1" applyAlignment="1">
      <alignment horizontal="left" vertical="center" wrapText="1" indent="1"/>
    </xf>
    <xf numFmtId="0" fontId="0" fillId="0" borderId="0" xfId="0" applyAlignment="1">
      <alignment horizontal="center"/>
    </xf>
    <xf numFmtId="0" fontId="22" fillId="0" borderId="9" xfId="0" applyFont="1" applyBorder="1" applyAlignment="1">
      <alignment vertical="center" wrapText="1"/>
    </xf>
    <xf numFmtId="0" fontId="22" fillId="0" borderId="18" xfId="0" applyFont="1" applyBorder="1" applyAlignment="1">
      <alignment vertical="center" wrapText="1"/>
    </xf>
    <xf numFmtId="0" fontId="35" fillId="0" borderId="0" xfId="0" applyFont="1" applyAlignment="1">
      <alignment horizontal="left" vertical="center" wrapText="1"/>
    </xf>
    <xf numFmtId="0" fontId="54" fillId="13" borderId="38" xfId="0" applyFont="1" applyFill="1" applyBorder="1" applyAlignment="1">
      <alignment horizontal="center" vertical="center" wrapText="1"/>
    </xf>
    <xf numFmtId="0" fontId="54" fillId="13" borderId="20" xfId="0" applyFont="1" applyFill="1" applyBorder="1" applyAlignment="1">
      <alignment horizontal="center" vertical="center" wrapText="1"/>
    </xf>
    <xf numFmtId="0" fontId="54" fillId="13" borderId="37" xfId="0" applyFont="1" applyFill="1" applyBorder="1" applyAlignment="1">
      <alignment horizontal="center" vertical="center" wrapText="1"/>
    </xf>
    <xf numFmtId="0" fontId="41" fillId="0" borderId="20" xfId="0" applyFont="1" applyBorder="1" applyAlignment="1">
      <alignment vertical="center" wrapText="1"/>
    </xf>
    <xf numFmtId="0" fontId="41" fillId="0" borderId="37" xfId="0" applyFont="1" applyBorder="1" applyAlignment="1">
      <alignment horizontal="center" vertical="center" wrapText="1"/>
    </xf>
    <xf numFmtId="0" fontId="55" fillId="0" borderId="37" xfId="0" applyFont="1" applyBorder="1" applyAlignment="1">
      <alignment horizontal="center" vertical="center" wrapText="1"/>
    </xf>
    <xf numFmtId="0" fontId="41" fillId="0" borderId="37" xfId="0" applyFont="1" applyBorder="1" applyAlignment="1">
      <alignment vertical="center" wrapText="1"/>
    </xf>
    <xf numFmtId="0" fontId="2" fillId="0" borderId="0" xfId="0" applyFont="1" applyAlignment="1">
      <alignment horizontal="left" vertical="center" indent="2"/>
    </xf>
    <xf numFmtId="0" fontId="55" fillId="0" borderId="38" xfId="0" applyFont="1" applyBorder="1" applyAlignment="1">
      <alignment horizontal="center" vertical="center" wrapText="1"/>
    </xf>
    <xf numFmtId="0" fontId="41" fillId="0" borderId="38" xfId="0" applyFont="1" applyBorder="1" applyAlignment="1">
      <alignment horizontal="center" vertical="center" wrapText="1"/>
    </xf>
    <xf numFmtId="0" fontId="54" fillId="0" borderId="19" xfId="0" applyFont="1" applyFill="1" applyBorder="1" applyAlignment="1">
      <alignment horizontal="center" vertical="center" wrapText="1"/>
    </xf>
    <xf numFmtId="0" fontId="55" fillId="0" borderId="19"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3" fillId="0" borderId="5" xfId="0" quotePrefix="1" applyFont="1" applyBorder="1" applyAlignment="1">
      <alignment horizontal="center" vertical="center"/>
    </xf>
    <xf numFmtId="0" fontId="22" fillId="0" borderId="0" xfId="0" applyFont="1" applyFill="1" applyAlignment="1">
      <alignment horizontal="left" vertical="center" wrapText="1"/>
    </xf>
    <xf numFmtId="0" fontId="6" fillId="0" borderId="0" xfId="0" applyFont="1" applyAlignment="1">
      <alignment horizontal="left" vertical="center"/>
    </xf>
    <xf numFmtId="0" fontId="32" fillId="0" borderId="0" xfId="0" applyFont="1" applyBorder="1" applyAlignment="1">
      <alignment horizontal="left" vertical="center" indent="1"/>
    </xf>
    <xf numFmtId="0" fontId="53" fillId="0" borderId="0" xfId="0" applyFont="1" applyBorder="1" applyAlignment="1">
      <alignment horizontal="left" vertical="center" indent="1"/>
    </xf>
    <xf numFmtId="0" fontId="57" fillId="0" borderId="0" xfId="0" applyFont="1"/>
    <xf numFmtId="0" fontId="32" fillId="0" borderId="0" xfId="0" applyFont="1" applyBorder="1" applyAlignment="1">
      <alignment vertical="center"/>
    </xf>
    <xf numFmtId="0" fontId="29" fillId="0" borderId="0" xfId="0" applyFont="1" applyAlignment="1">
      <alignment horizontal="left" vertical="center" wrapText="1"/>
    </xf>
    <xf numFmtId="0" fontId="15" fillId="0" borderId="5" xfId="0" quotePrefix="1" applyFont="1" applyBorder="1" applyAlignment="1">
      <alignment horizontal="center" vertical="center"/>
    </xf>
    <xf numFmtId="0" fontId="22" fillId="0" borderId="0" xfId="0" applyNumberFormat="1" applyFont="1" applyAlignment="1">
      <alignment horizontal="left" vertical="center" wrapText="1"/>
    </xf>
    <xf numFmtId="0" fontId="41" fillId="0" borderId="37" xfId="0" quotePrefix="1" applyNumberFormat="1" applyFont="1" applyBorder="1" applyAlignment="1">
      <alignment horizontal="center" vertical="center" wrapText="1"/>
    </xf>
    <xf numFmtId="0" fontId="22" fillId="0" borderId="0" xfId="0" applyFont="1" applyAlignment="1">
      <alignment horizontal="center" vertical="center"/>
    </xf>
    <xf numFmtId="0" fontId="0" fillId="0" borderId="0" xfId="0" applyAlignment="1">
      <alignment horizontal="center"/>
    </xf>
    <xf numFmtId="9" fontId="0" fillId="0" borderId="0" xfId="0" applyNumberFormat="1"/>
    <xf numFmtId="0" fontId="20" fillId="0" borderId="0" xfId="0" applyFont="1" applyAlignment="1">
      <alignment horizontal="center"/>
    </xf>
    <xf numFmtId="0" fontId="15" fillId="7" borderId="5" xfId="0" applyFont="1" applyFill="1" applyBorder="1" applyAlignment="1">
      <alignment horizontal="center" vertical="center"/>
    </xf>
    <xf numFmtId="0" fontId="13" fillId="7" borderId="5" xfId="0" applyFont="1" applyFill="1" applyBorder="1" applyAlignment="1">
      <alignment horizontal="center" vertical="center"/>
    </xf>
    <xf numFmtId="0" fontId="17" fillId="4" borderId="1" xfId="0" applyFont="1" applyFill="1" applyBorder="1" applyAlignment="1">
      <alignment horizontal="left" vertical="center" wrapText="1"/>
    </xf>
    <xf numFmtId="0" fontId="6" fillId="0" borderId="0" xfId="0" applyFont="1" applyBorder="1" applyAlignment="1">
      <alignment vertical="center" wrapText="1"/>
    </xf>
    <xf numFmtId="0" fontId="12" fillId="0" borderId="18" xfId="0" applyFont="1" applyBorder="1" applyAlignment="1">
      <alignment vertical="center" wrapText="1"/>
    </xf>
    <xf numFmtId="0" fontId="22" fillId="0" borderId="0" xfId="0" applyFont="1" applyAlignment="1">
      <alignment wrapText="1"/>
    </xf>
    <xf numFmtId="0" fontId="57" fillId="0" borderId="0" xfId="0" applyFont="1" applyAlignment="1">
      <alignment wrapText="1"/>
    </xf>
    <xf numFmtId="0" fontId="12" fillId="0" borderId="18" xfId="0" applyFont="1" applyBorder="1" applyAlignment="1">
      <alignment horizontal="left" vertical="center" wrapText="1"/>
    </xf>
    <xf numFmtId="0" fontId="22" fillId="0" borderId="18" xfId="0" applyFont="1" applyBorder="1" applyAlignment="1">
      <alignment horizontal="left" vertical="center" wrapText="1"/>
    </xf>
    <xf numFmtId="0" fontId="22" fillId="0" borderId="0" xfId="0" applyFont="1" applyBorder="1" applyAlignment="1">
      <alignment horizontal="left" vertical="center" wrapText="1"/>
    </xf>
    <xf numFmtId="0" fontId="22" fillId="0" borderId="0" xfId="0" applyFont="1" applyBorder="1" applyAlignment="1">
      <alignment vertical="center" wrapText="1"/>
    </xf>
    <xf numFmtId="0" fontId="20" fillId="0" borderId="0" xfId="0" applyFont="1" applyAlignment="1">
      <alignment horizontal="left"/>
    </xf>
    <xf numFmtId="1" fontId="58" fillId="0" borderId="0" xfId="0" applyNumberFormat="1" applyFont="1" applyBorder="1" applyAlignment="1">
      <alignment horizontal="center" vertical="center"/>
    </xf>
    <xf numFmtId="0" fontId="58" fillId="0" borderId="0" xfId="0" applyFont="1" applyAlignment="1"/>
    <xf numFmtId="0" fontId="6" fillId="9" borderId="0" xfId="0" applyFont="1" applyFill="1" applyBorder="1" applyAlignment="1" applyProtection="1">
      <alignment horizontal="center" vertical="center" wrapText="1"/>
      <protection locked="0"/>
    </xf>
    <xf numFmtId="9" fontId="6" fillId="0" borderId="0" xfId="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22" fillId="0" borderId="0" xfId="0" applyFont="1" applyFill="1" applyAlignment="1">
      <alignment vertical="center" wrapText="1"/>
    </xf>
    <xf numFmtId="0" fontId="20" fillId="0" borderId="0" xfId="0" applyFont="1" applyAlignment="1">
      <alignment horizontal="center" vertical="center"/>
    </xf>
    <xf numFmtId="0" fontId="22" fillId="0" borderId="0" xfId="0" applyNumberFormat="1" applyFont="1" applyAlignment="1">
      <alignment horizontal="left" vertical="center" wrapText="1" indent="1"/>
    </xf>
    <xf numFmtId="0" fontId="13" fillId="0" borderId="0" xfId="0" applyFont="1" applyBorder="1" applyAlignment="1">
      <alignment horizontal="center" vertical="center"/>
    </xf>
    <xf numFmtId="0" fontId="61" fillId="15" borderId="0" xfId="24" applyFont="1" applyAlignment="1">
      <alignment horizontal="center" vertical="center"/>
    </xf>
    <xf numFmtId="0" fontId="7" fillId="0" borderId="0" xfId="0" applyFont="1" applyBorder="1"/>
    <xf numFmtId="0" fontId="4" fillId="0" borderId="0" xfId="0" applyFont="1" applyAlignment="1">
      <alignment horizontal="center"/>
    </xf>
    <xf numFmtId="0" fontId="29" fillId="0" borderId="0" xfId="0" applyFont="1" applyAlignment="1">
      <alignment vertical="center"/>
    </xf>
    <xf numFmtId="0" fontId="20" fillId="0" borderId="0" xfId="0" applyFont="1" applyAlignment="1">
      <alignment vertical="center"/>
    </xf>
    <xf numFmtId="0" fontId="12" fillId="0" borderId="18" xfId="0" applyFont="1" applyBorder="1" applyAlignment="1">
      <alignment horizontal="center" vertical="center" wrapText="1"/>
    </xf>
    <xf numFmtId="0" fontId="20" fillId="0" borderId="0" xfId="0" applyFont="1" applyAlignment="1">
      <alignment horizontal="right" vertical="center"/>
    </xf>
    <xf numFmtId="0" fontId="29" fillId="0" borderId="0" xfId="0" applyFont="1" applyFill="1" applyAlignment="1">
      <alignment horizontal="center" vertical="center"/>
    </xf>
    <xf numFmtId="0" fontId="20" fillId="0" borderId="0" xfId="0" applyFont="1" applyAlignment="1">
      <alignment horizontal="center" vertical="center" wrapText="1"/>
    </xf>
    <xf numFmtId="0" fontId="20" fillId="0" borderId="0" xfId="0" applyFont="1" applyFill="1" applyAlignment="1">
      <alignment horizontal="left" vertical="center"/>
    </xf>
    <xf numFmtId="0" fontId="7" fillId="0" borderId="0" xfId="0" applyFont="1" applyFill="1" applyBorder="1" applyAlignment="1">
      <alignment horizontal="left" vertical="center"/>
    </xf>
    <xf numFmtId="0" fontId="0" fillId="0" borderId="0" xfId="0" applyAlignment="1">
      <alignment horizontal="center"/>
    </xf>
    <xf numFmtId="2" fontId="13" fillId="0" borderId="5" xfId="0" applyNumberFormat="1" applyFont="1" applyBorder="1" applyAlignment="1">
      <alignment horizontal="center" vertical="center"/>
    </xf>
    <xf numFmtId="0" fontId="66" fillId="0" borderId="0" xfId="0" applyFont="1" applyAlignment="1">
      <alignment horizontal="left" vertical="center" wrapText="1"/>
    </xf>
    <xf numFmtId="0" fontId="17" fillId="0" borderId="0" xfId="0" applyFont="1" applyAlignment="1">
      <alignment horizontal="left" vertical="center" wrapText="1"/>
    </xf>
    <xf numFmtId="0" fontId="57" fillId="0" borderId="0" xfId="0" applyFont="1" applyAlignment="1">
      <alignment vertical="center"/>
    </xf>
    <xf numFmtId="0" fontId="22" fillId="0" borderId="18" xfId="0" applyFont="1" applyFill="1" applyBorder="1" applyAlignment="1">
      <alignment horizontal="left" vertical="center" wrapText="1"/>
    </xf>
    <xf numFmtId="0" fontId="22" fillId="0" borderId="13" xfId="0" applyFont="1" applyBorder="1" applyAlignment="1">
      <alignment vertical="center" wrapText="1"/>
    </xf>
    <xf numFmtId="0" fontId="17" fillId="0" borderId="0" xfId="0" applyFont="1" applyAlignment="1">
      <alignment vertical="center" wrapText="1"/>
    </xf>
    <xf numFmtId="0" fontId="57" fillId="0" borderId="0" xfId="0" applyFont="1" applyAlignment="1">
      <alignment vertical="center" wrapText="1"/>
    </xf>
    <xf numFmtId="2" fontId="13" fillId="0" borderId="5" xfId="0" quotePrefix="1" applyNumberFormat="1" applyFont="1" applyFill="1" applyBorder="1" applyAlignment="1">
      <alignment horizontal="center" vertical="center"/>
    </xf>
    <xf numFmtId="9" fontId="10" fillId="17" borderId="11" xfId="0" applyNumberFormat="1" applyFont="1" applyFill="1" applyBorder="1" applyAlignment="1">
      <alignment horizontal="center" vertical="center" wrapText="1"/>
    </xf>
    <xf numFmtId="0" fontId="6" fillId="0" borderId="0" xfId="0" applyFont="1" applyBorder="1" applyAlignment="1">
      <alignment horizontal="left" vertical="center"/>
    </xf>
    <xf numFmtId="0" fontId="43" fillId="7" borderId="5" xfId="0" applyFont="1" applyFill="1" applyBorder="1" applyAlignment="1">
      <alignment horizontal="center"/>
    </xf>
    <xf numFmtId="0" fontId="19" fillId="0" borderId="0" xfId="0" applyFont="1" applyAlignment="1">
      <alignment vertical="center"/>
    </xf>
    <xf numFmtId="0" fontId="0" fillId="0" borderId="0" xfId="0" applyAlignment="1">
      <alignment horizontal="center"/>
    </xf>
    <xf numFmtId="0" fontId="69" fillId="0" borderId="0" xfId="0" applyFont="1" applyAlignment="1">
      <alignment vertical="center"/>
    </xf>
    <xf numFmtId="0" fontId="12" fillId="0" borderId="18" xfId="0" applyFont="1" applyFill="1" applyBorder="1" applyAlignment="1">
      <alignment horizontal="left" vertical="center" wrapText="1"/>
    </xf>
    <xf numFmtId="9" fontId="21" fillId="7" borderId="22" xfId="0" applyNumberFormat="1" applyFont="1" applyFill="1" applyBorder="1" applyAlignment="1">
      <alignment horizontal="left" vertical="center" wrapText="1"/>
    </xf>
    <xf numFmtId="1" fontId="47" fillId="3" borderId="11" xfId="0" applyNumberFormat="1" applyFont="1" applyFill="1" applyBorder="1" applyAlignment="1">
      <alignment horizontal="center" vertical="center" wrapText="1"/>
    </xf>
    <xf numFmtId="1" fontId="73" fillId="7" borderId="0" xfId="1" applyNumberFormat="1" applyFont="1" applyFill="1" applyBorder="1" applyAlignment="1">
      <alignment horizontal="center" vertical="center" wrapText="1"/>
    </xf>
    <xf numFmtId="0" fontId="74" fillId="0" borderId="0" xfId="0" applyFont="1"/>
    <xf numFmtId="0" fontId="75" fillId="0" borderId="0" xfId="0" applyFont="1" applyAlignment="1">
      <alignment vertical="center"/>
    </xf>
    <xf numFmtId="0" fontId="76" fillId="0" borderId="0" xfId="0" applyFont="1"/>
    <xf numFmtId="0" fontId="57" fillId="0" borderId="0" xfId="0" applyFont="1" applyAlignment="1">
      <alignment horizontal="center"/>
    </xf>
    <xf numFmtId="0" fontId="6" fillId="7" borderId="0" xfId="0" applyFont="1" applyFill="1" applyAlignment="1">
      <alignment horizontal="center"/>
    </xf>
    <xf numFmtId="0" fontId="7" fillId="0" borderId="0" xfId="0" applyFont="1"/>
    <xf numFmtId="9" fontId="17" fillId="7" borderId="0" xfId="0" applyNumberFormat="1" applyFont="1" applyFill="1" applyBorder="1" applyAlignment="1">
      <alignment horizontal="center" vertical="center" wrapText="1"/>
    </xf>
    <xf numFmtId="9" fontId="17" fillId="7" borderId="4" xfId="0" applyNumberFormat="1" applyFont="1" applyFill="1" applyBorder="1" applyAlignment="1">
      <alignment horizontal="center" vertical="center"/>
    </xf>
    <xf numFmtId="0" fontId="7" fillId="0" borderId="35" xfId="0" applyFont="1" applyBorder="1" applyAlignment="1">
      <alignment horizontal="left" vertical="center" wrapText="1"/>
    </xf>
    <xf numFmtId="0" fontId="32" fillId="0" borderId="51" xfId="0" applyFont="1" applyBorder="1"/>
    <xf numFmtId="0" fontId="32" fillId="0" borderId="52" xfId="0" applyFont="1" applyBorder="1"/>
    <xf numFmtId="0" fontId="57" fillId="0" borderId="52" xfId="0" applyFont="1" applyBorder="1"/>
    <xf numFmtId="0" fontId="6" fillId="0" borderId="52" xfId="0" applyFont="1" applyFill="1" applyBorder="1" applyAlignment="1">
      <alignment horizontal="center" vertical="center"/>
    </xf>
    <xf numFmtId="0" fontId="6" fillId="0" borderId="52" xfId="0" applyFont="1" applyBorder="1"/>
    <xf numFmtId="0" fontId="0" fillId="0" borderId="52" xfId="0" applyBorder="1"/>
    <xf numFmtId="9" fontId="6" fillId="0" borderId="54" xfId="1" applyFont="1" applyFill="1" applyBorder="1" applyAlignment="1" applyProtection="1">
      <alignment horizontal="center" vertical="center" wrapText="1"/>
      <protection locked="0"/>
    </xf>
    <xf numFmtId="0" fontId="11" fillId="0" borderId="0" xfId="0" applyFont="1" applyAlignment="1">
      <alignment vertical="center"/>
    </xf>
    <xf numFmtId="0" fontId="76" fillId="0" borderId="0" xfId="0" applyFont="1" applyAlignment="1">
      <alignment vertical="center"/>
    </xf>
    <xf numFmtId="0" fontId="6" fillId="0" borderId="0" xfId="0" applyFont="1" applyAlignment="1">
      <alignment vertical="center"/>
    </xf>
    <xf numFmtId="0" fontId="6" fillId="0" borderId="54" xfId="0" applyFont="1" applyBorder="1" applyAlignment="1">
      <alignment vertical="center"/>
    </xf>
    <xf numFmtId="0" fontId="15" fillId="0" borderId="5" xfId="0" quotePrefix="1" applyFont="1" applyFill="1" applyBorder="1" applyAlignment="1">
      <alignment horizontal="center" vertical="center"/>
    </xf>
    <xf numFmtId="0" fontId="11" fillId="0" borderId="0" xfId="0" applyFont="1" applyAlignment="1">
      <alignment vertical="center" wrapText="1"/>
    </xf>
    <xf numFmtId="0" fontId="11" fillId="0" borderId="54" xfId="0" applyFont="1" applyBorder="1" applyAlignment="1">
      <alignment vertical="center" wrapText="1"/>
    </xf>
    <xf numFmtId="0" fontId="43" fillId="0" borderId="5" xfId="0" quotePrefix="1" applyFont="1" applyFill="1" applyBorder="1" applyAlignment="1">
      <alignment horizontal="center" vertical="center"/>
    </xf>
    <xf numFmtId="9" fontId="57" fillId="0" borderId="0" xfId="1" applyFont="1"/>
    <xf numFmtId="0" fontId="77" fillId="0" borderId="0" xfId="0" applyFont="1" applyAlignment="1">
      <alignment vertical="center" wrapText="1"/>
    </xf>
    <xf numFmtId="9" fontId="7" fillId="0" borderId="0" xfId="1" applyFont="1" applyFill="1" applyAlignment="1">
      <alignment horizontal="center" vertical="center"/>
    </xf>
    <xf numFmtId="0" fontId="0" fillId="0" borderId="55" xfId="0" applyBorder="1"/>
    <xf numFmtId="0" fontId="0" fillId="0" borderId="52" xfId="0" applyBorder="1" applyAlignment="1">
      <alignment wrapText="1"/>
    </xf>
    <xf numFmtId="0" fontId="0" fillId="0" borderId="56" xfId="0" applyBorder="1"/>
    <xf numFmtId="0" fontId="33" fillId="0" borderId="56" xfId="0" applyFont="1" applyBorder="1"/>
    <xf numFmtId="0" fontId="0" fillId="0" borderId="52" xfId="0" applyBorder="1" applyAlignment="1"/>
    <xf numFmtId="0" fontId="0" fillId="0" borderId="0" xfId="0" applyAlignment="1">
      <alignment horizontal="center" vertical="center"/>
    </xf>
    <xf numFmtId="0" fontId="70" fillId="0" borderId="0" xfId="0" applyFont="1" applyAlignment="1">
      <alignment vertical="center"/>
    </xf>
    <xf numFmtId="0" fontId="6" fillId="0" borderId="18" xfId="0" applyFont="1" applyBorder="1" applyAlignment="1">
      <alignment horizontal="center" vertical="center"/>
    </xf>
    <xf numFmtId="0" fontId="6" fillId="9" borderId="18" xfId="0" applyFont="1" applyFill="1" applyBorder="1" applyAlignment="1" applyProtection="1">
      <alignment horizontal="center" vertical="center" wrapText="1"/>
      <protection locked="0"/>
    </xf>
    <xf numFmtId="0" fontId="6" fillId="8" borderId="18"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8" borderId="28" xfId="0" applyFont="1" applyFill="1" applyBorder="1" applyAlignment="1" applyProtection="1">
      <alignment horizontal="center" vertical="center" wrapText="1"/>
      <protection locked="0"/>
    </xf>
    <xf numFmtId="0" fontId="12" fillId="0" borderId="18" xfId="0" applyFont="1" applyBorder="1" applyAlignment="1">
      <alignment horizontal="left" vertical="center" wrapText="1" indent="1"/>
    </xf>
    <xf numFmtId="0" fontId="15" fillId="0" borderId="18" xfId="0" applyFont="1" applyBorder="1" applyAlignment="1">
      <alignment horizontal="center" vertical="center"/>
    </xf>
    <xf numFmtId="0" fontId="12" fillId="0" borderId="18" xfId="0" applyFont="1" applyFill="1" applyBorder="1" applyAlignment="1">
      <alignment horizontal="left" vertical="center" wrapText="1" indent="1"/>
    </xf>
    <xf numFmtId="0" fontId="22" fillId="0" borderId="18" xfId="0" applyFont="1" applyBorder="1" applyAlignment="1">
      <alignment horizontal="left" vertical="center" wrapText="1" indent="1"/>
    </xf>
    <xf numFmtId="0" fontId="21" fillId="7" borderId="0" xfId="0" applyFont="1" applyFill="1" applyBorder="1" applyAlignment="1">
      <alignment vertical="center" wrapText="1"/>
    </xf>
    <xf numFmtId="0" fontId="15" fillId="0" borderId="18" xfId="0" quotePrefix="1" applyFont="1" applyBorder="1" applyAlignment="1">
      <alignment horizontal="center" vertical="center"/>
    </xf>
    <xf numFmtId="9" fontId="6" fillId="0" borderId="0" xfId="1" applyFont="1" applyAlignment="1">
      <alignment horizontal="center" vertical="center" wrapText="1"/>
    </xf>
    <xf numFmtId="0" fontId="22" fillId="0" borderId="0" xfId="0" applyFont="1" applyFill="1" applyAlignment="1">
      <alignment horizontal="left" vertical="center"/>
    </xf>
    <xf numFmtId="0" fontId="79" fillId="0" borderId="0" xfId="0" applyFont="1" applyAlignment="1">
      <alignment horizontal="left"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vertical="center" wrapText="1"/>
    </xf>
    <xf numFmtId="0" fontId="67" fillId="0" borderId="9" xfId="0" applyFont="1" applyBorder="1" applyAlignment="1">
      <alignment vertical="center" wrapText="1"/>
    </xf>
    <xf numFmtId="0" fontId="67" fillId="0" borderId="0" xfId="0" applyFont="1" applyBorder="1" applyAlignment="1">
      <alignment vertical="center" wrapText="1"/>
    </xf>
    <xf numFmtId="0" fontId="67" fillId="0" borderId="0" xfId="0" applyFont="1" applyAlignment="1">
      <alignment wrapText="1"/>
    </xf>
    <xf numFmtId="0" fontId="67" fillId="0" borderId="0" xfId="0" applyFont="1" applyBorder="1" applyAlignment="1">
      <alignment horizontal="center" vertical="center" wrapText="1"/>
    </xf>
    <xf numFmtId="0" fontId="67" fillId="0" borderId="0" xfId="0" applyFont="1" applyBorder="1" applyAlignment="1">
      <alignment wrapText="1"/>
    </xf>
    <xf numFmtId="0" fontId="41" fillId="0" borderId="0" xfId="0" applyFont="1" applyBorder="1" applyAlignment="1">
      <alignment vertical="center" wrapText="1"/>
    </xf>
    <xf numFmtId="0" fontId="41"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0" fontId="29" fillId="0" borderId="0" xfId="0" applyFont="1" applyAlignment="1">
      <alignment horizontal="center" vertical="center"/>
    </xf>
    <xf numFmtId="0" fontId="81" fillId="0" borderId="0" xfId="0" applyFont="1" applyAlignment="1">
      <alignment vertical="center"/>
    </xf>
    <xf numFmtId="0" fontId="5" fillId="0" borderId="52" xfId="0" applyFont="1" applyBorder="1" applyAlignment="1">
      <alignment horizontal="left" vertical="center" wrapText="1"/>
    </xf>
    <xf numFmtId="0" fontId="82" fillId="0" borderId="0" xfId="0" applyFont="1" applyAlignment="1">
      <alignment horizontal="center" vertical="center"/>
    </xf>
    <xf numFmtId="0" fontId="83" fillId="0" borderId="0" xfId="0" applyFont="1" applyAlignment="1">
      <alignment horizontal="center" vertical="center"/>
    </xf>
    <xf numFmtId="0" fontId="50" fillId="0" borderId="0" xfId="0" applyFont="1" applyAlignment="1">
      <alignment horizontal="left"/>
    </xf>
    <xf numFmtId="0" fontId="0" fillId="0" borderId="0" xfId="0" applyAlignment="1">
      <alignment textRotation="90"/>
    </xf>
    <xf numFmtId="9" fontId="12" fillId="0" borderId="18" xfId="0" applyNumberFormat="1" applyFont="1" applyBorder="1" applyAlignment="1">
      <alignment horizontal="center"/>
    </xf>
    <xf numFmtId="0" fontId="0" fillId="0" borderId="61" xfId="0" applyBorder="1" applyAlignment="1">
      <alignment horizontal="center"/>
    </xf>
    <xf numFmtId="0" fontId="0" fillId="0" borderId="0" xfId="0" applyAlignment="1">
      <alignment horizontal="left"/>
    </xf>
    <xf numFmtId="1" fontId="0" fillId="0" borderId="0" xfId="0" applyNumberFormat="1" applyAlignment="1">
      <alignment horizontal="left"/>
    </xf>
    <xf numFmtId="0" fontId="84" fillId="0" borderId="0" xfId="0" applyFont="1" applyAlignment="1">
      <alignment wrapText="1"/>
    </xf>
    <xf numFmtId="0" fontId="84" fillId="0" borderId="0" xfId="0" applyFont="1" applyAlignment="1">
      <alignment horizontal="left" vertical="center" wrapText="1"/>
    </xf>
    <xf numFmtId="0" fontId="84" fillId="0" borderId="0" xfId="0" applyFont="1" applyAlignment="1">
      <alignment vertical="center" wrapText="1"/>
    </xf>
    <xf numFmtId="0" fontId="84" fillId="0" borderId="0" xfId="0" applyFont="1" applyAlignment="1">
      <alignment horizontal="left" vertical="top" wrapText="1"/>
    </xf>
    <xf numFmtId="0" fontId="22" fillId="0" borderId="0" xfId="0" applyFont="1" applyAlignment="1">
      <alignment horizontal="left" vertical="top" wrapText="1"/>
    </xf>
    <xf numFmtId="0" fontId="84" fillId="0" borderId="0" xfId="0" applyFont="1" applyAlignment="1">
      <alignment horizontal="left" wrapText="1"/>
    </xf>
    <xf numFmtId="0" fontId="22" fillId="0" borderId="0" xfId="0" applyFont="1" applyAlignment="1">
      <alignment horizontal="left" wrapText="1"/>
    </xf>
    <xf numFmtId="0" fontId="85" fillId="0" borderId="0" xfId="0" applyFont="1"/>
    <xf numFmtId="0" fontId="28" fillId="0" borderId="0" xfId="0" applyFont="1" applyAlignment="1">
      <alignment horizontal="center"/>
    </xf>
    <xf numFmtId="0" fontId="0" fillId="0" borderId="0" xfId="0" applyFill="1" applyAlignment="1">
      <alignment horizontal="center"/>
    </xf>
    <xf numFmtId="0" fontId="0" fillId="0" borderId="60" xfId="0" applyBorder="1" applyAlignment="1">
      <alignment horizontal="center" textRotation="90" wrapText="1"/>
    </xf>
    <xf numFmtId="0" fontId="0" fillId="0" borderId="43" xfId="0" applyBorder="1" applyAlignment="1">
      <alignment horizontal="center" textRotation="90" wrapText="1"/>
    </xf>
    <xf numFmtId="0" fontId="0" fillId="0" borderId="59" xfId="0" applyBorder="1" applyAlignment="1">
      <alignment horizontal="center" textRotation="90" wrapText="1"/>
    </xf>
    <xf numFmtId="0" fontId="0" fillId="0" borderId="17" xfId="0" applyBorder="1" applyAlignment="1">
      <alignment horizontal="center" textRotation="90" wrapText="1"/>
    </xf>
    <xf numFmtId="0" fontId="0" fillId="0" borderId="48" xfId="0" applyBorder="1" applyAlignment="1">
      <alignment horizontal="center"/>
    </xf>
    <xf numFmtId="0" fontId="0" fillId="0" borderId="50" xfId="0" applyBorder="1" applyAlignment="1">
      <alignment horizontal="center" textRotation="90" wrapText="1"/>
    </xf>
    <xf numFmtId="0" fontId="0" fillId="0" borderId="32" xfId="0" applyBorder="1" applyAlignment="1">
      <alignment horizontal="center" textRotation="90"/>
    </xf>
    <xf numFmtId="0" fontId="0" fillId="0" borderId="60" xfId="0" applyBorder="1" applyAlignment="1">
      <alignment horizontal="center" textRotation="90"/>
    </xf>
    <xf numFmtId="0" fontId="0" fillId="0" borderId="17" xfId="0" applyBorder="1" applyAlignment="1">
      <alignment horizontal="center" textRotation="90"/>
    </xf>
    <xf numFmtId="0" fontId="0" fillId="0" borderId="43" xfId="0" applyBorder="1" applyAlignment="1">
      <alignment horizontal="center" textRotation="90"/>
    </xf>
    <xf numFmtId="0" fontId="0" fillId="0" borderId="59" xfId="0" applyBorder="1" applyAlignment="1">
      <alignment horizontal="center" textRotation="90"/>
    </xf>
    <xf numFmtId="0" fontId="0" fillId="0" borderId="62" xfId="0" applyBorder="1" applyAlignment="1">
      <alignment horizontal="center" textRotation="90"/>
    </xf>
    <xf numFmtId="2" fontId="0" fillId="0" borderId="0" xfId="0" applyNumberFormat="1" applyAlignment="1">
      <alignment horizontal="center"/>
    </xf>
    <xf numFmtId="1" fontId="0" fillId="0" borderId="0" xfId="0" applyNumberFormat="1" applyAlignment="1">
      <alignment horizontal="center"/>
    </xf>
    <xf numFmtId="0" fontId="0" fillId="0" borderId="59" xfId="0" applyBorder="1" applyAlignment="1">
      <alignment horizontal="left" textRotation="90"/>
    </xf>
    <xf numFmtId="14" fontId="0" fillId="0" borderId="0" xfId="0" applyNumberFormat="1" applyAlignment="1">
      <alignment horizontal="center"/>
    </xf>
    <xf numFmtId="0" fontId="12" fillId="0" borderId="0" xfId="0" applyFont="1" applyFill="1" applyAlignment="1">
      <alignment wrapText="1"/>
    </xf>
    <xf numFmtId="0" fontId="0" fillId="0" borderId="32" xfId="0" applyBorder="1" applyAlignment="1">
      <alignment horizontal="center" textRotation="90" wrapText="1"/>
    </xf>
    <xf numFmtId="0" fontId="0" fillId="0" borderId="59" xfId="0" applyFont="1" applyBorder="1" applyAlignment="1">
      <alignment horizontal="center" textRotation="90" wrapText="1"/>
    </xf>
    <xf numFmtId="0" fontId="66" fillId="0" borderId="0" xfId="0" applyFont="1" applyAlignment="1">
      <alignment horizontal="center" vertical="center" wrapText="1"/>
    </xf>
    <xf numFmtId="0" fontId="0" fillId="0" borderId="25" xfId="0" applyBorder="1"/>
    <xf numFmtId="0" fontId="0" fillId="0" borderId="0" xfId="0" applyFill="1" applyBorder="1"/>
    <xf numFmtId="1" fontId="0" fillId="0" borderId="0" xfId="0" applyNumberFormat="1" applyFill="1" applyAlignment="1">
      <alignment horizontal="center"/>
    </xf>
    <xf numFmtId="0" fontId="0" fillId="0" borderId="0" xfId="0" applyFill="1" applyAlignment="1">
      <alignment horizontal="left"/>
    </xf>
    <xf numFmtId="1" fontId="0" fillId="0" borderId="0" xfId="0" applyNumberFormat="1" applyFill="1" applyAlignment="1">
      <alignment horizontal="left"/>
    </xf>
    <xf numFmtId="0" fontId="0" fillId="0" borderId="0" xfId="0" quotePrefix="1"/>
    <xf numFmtId="2" fontId="0" fillId="0" borderId="0" xfId="0" applyNumberFormat="1" applyFill="1" applyAlignment="1">
      <alignment horizontal="center"/>
    </xf>
    <xf numFmtId="0" fontId="6" fillId="0" borderId="18" xfId="0" applyFont="1" applyBorder="1" applyAlignment="1">
      <alignment vertical="center" wrapText="1"/>
    </xf>
    <xf numFmtId="0" fontId="6" fillId="0" borderId="18" xfId="0" applyFont="1" applyFill="1" applyBorder="1" applyAlignment="1">
      <alignment vertical="center" wrapText="1"/>
    </xf>
    <xf numFmtId="0" fontId="6" fillId="0" borderId="18" xfId="0" applyFont="1" applyBorder="1" applyAlignment="1">
      <alignment horizontal="left" vertical="center" wrapText="1"/>
    </xf>
    <xf numFmtId="0" fontId="18" fillId="0" borderId="0" xfId="0" applyFont="1" applyFill="1" applyBorder="1" applyAlignment="1">
      <alignment horizontal="right" vertical="center" wrapText="1"/>
    </xf>
    <xf numFmtId="0" fontId="0" fillId="0" borderId="52" xfId="0" applyBorder="1" applyAlignment="1">
      <alignment vertical="center"/>
    </xf>
    <xf numFmtId="1" fontId="12" fillId="0" borderId="18" xfId="0" applyNumberFormat="1" applyFont="1" applyBorder="1" applyAlignment="1">
      <alignment horizontal="center" vertical="center"/>
    </xf>
    <xf numFmtId="0" fontId="71" fillId="7" borderId="18" xfId="0" applyFont="1" applyFill="1" applyBorder="1" applyAlignment="1">
      <alignment vertical="center"/>
    </xf>
    <xf numFmtId="9" fontId="0" fillId="0" borderId="0" xfId="0" applyNumberFormat="1" applyAlignment="1">
      <alignment horizontal="center" vertical="center"/>
    </xf>
    <xf numFmtId="9" fontId="72" fillId="0" borderId="0" xfId="0" applyNumberFormat="1" applyFont="1" applyAlignment="1">
      <alignment horizontal="center" vertical="center"/>
    </xf>
    <xf numFmtId="9" fontId="0" fillId="0" borderId="0" xfId="1" applyFont="1" applyAlignment="1">
      <alignment horizontal="center" vertical="center" wrapText="1"/>
    </xf>
    <xf numFmtId="9" fontId="0" fillId="0" borderId="0" xfId="1" applyFont="1" applyAlignment="1">
      <alignment horizontal="center" vertical="center"/>
    </xf>
    <xf numFmtId="9" fontId="72" fillId="0" borderId="0" xfId="1" applyFont="1" applyAlignment="1">
      <alignment horizontal="center" vertical="center"/>
    </xf>
    <xf numFmtId="0" fontId="27" fillId="7" borderId="18" xfId="0" applyFont="1" applyFill="1" applyBorder="1" applyAlignment="1">
      <alignment horizontal="center" vertical="center"/>
    </xf>
    <xf numFmtId="9" fontId="12" fillId="0" borderId="18" xfId="0" applyNumberFormat="1" applyFont="1" applyBorder="1" applyAlignment="1">
      <alignment horizontal="center" vertical="center"/>
    </xf>
    <xf numFmtId="0" fontId="71" fillId="7" borderId="0" xfId="0" applyFont="1" applyFill="1" applyAlignment="1">
      <alignment vertical="center"/>
    </xf>
    <xf numFmtId="0" fontId="12" fillId="0" borderId="29" xfId="0" applyFont="1" applyBorder="1" applyAlignment="1">
      <alignment horizontal="center" vertical="center" wrapText="1"/>
    </xf>
    <xf numFmtId="0" fontId="12" fillId="0" borderId="29" xfId="0" applyFont="1" applyBorder="1" applyAlignment="1">
      <alignment horizontal="center" vertical="center"/>
    </xf>
    <xf numFmtId="0" fontId="14" fillId="0" borderId="0" xfId="0" applyFont="1" applyAlignment="1">
      <alignment horizontal="left" vertical="center"/>
    </xf>
    <xf numFmtId="0" fontId="21" fillId="7" borderId="28" xfId="0" applyFont="1" applyFill="1" applyBorder="1" applyAlignment="1">
      <alignment horizontal="left" vertical="center" wrapText="1"/>
    </xf>
    <xf numFmtId="0" fontId="0" fillId="0" borderId="0" xfId="0" quotePrefix="1" applyAlignment="1">
      <alignment horizontal="center"/>
    </xf>
    <xf numFmtId="49" fontId="22" fillId="0" borderId="0" xfId="0" applyNumberFormat="1" applyFont="1" applyAlignment="1">
      <alignment horizontal="center" vertical="center"/>
    </xf>
    <xf numFmtId="49" fontId="12" fillId="0" borderId="0" xfId="0" applyNumberFormat="1" applyFont="1" applyAlignment="1">
      <alignment horizontal="center" vertical="center"/>
    </xf>
    <xf numFmtId="0" fontId="12" fillId="0" borderId="18" xfId="0" applyFont="1" applyBorder="1" applyAlignment="1">
      <alignment vertical="center"/>
    </xf>
    <xf numFmtId="0" fontId="34" fillId="0" borderId="0" xfId="0" applyFont="1" applyAlignment="1">
      <alignment horizontal="center" vertical="center"/>
    </xf>
    <xf numFmtId="0" fontId="4" fillId="0" borderId="0" xfId="0" applyFont="1" applyAlignment="1">
      <alignment horizontal="left"/>
    </xf>
    <xf numFmtId="0" fontId="88" fillId="0" borderId="0" xfId="0" applyFont="1" applyAlignment="1">
      <alignment horizontal="center"/>
    </xf>
    <xf numFmtId="0" fontId="33" fillId="0" borderId="0" xfId="0" applyFont="1" applyAlignment="1">
      <alignment horizontal="center"/>
    </xf>
    <xf numFmtId="0" fontId="11" fillId="0" borderId="0" xfId="0" applyFont="1" applyAlignment="1">
      <alignment wrapText="1"/>
    </xf>
    <xf numFmtId="0" fontId="31" fillId="0" borderId="0" xfId="0" applyFont="1" applyFill="1" applyAlignment="1">
      <alignment wrapText="1"/>
    </xf>
    <xf numFmtId="0" fontId="31" fillId="0" borderId="0" xfId="0" applyFont="1" applyAlignment="1">
      <alignment wrapText="1"/>
    </xf>
    <xf numFmtId="0" fontId="45" fillId="0" borderId="0" xfId="18" applyFont="1" applyAlignment="1">
      <alignment horizontal="left" vertical="center" wrapText="1"/>
    </xf>
    <xf numFmtId="0" fontId="43" fillId="0" borderId="25" xfId="0" applyFont="1" applyFill="1" applyBorder="1" applyAlignment="1">
      <alignment horizontal="center" vertical="center" wrapText="1"/>
    </xf>
    <xf numFmtId="0" fontId="15" fillId="0" borderId="0" xfId="0" applyFont="1" applyAlignment="1">
      <alignment horizontal="center" wrapText="1"/>
    </xf>
    <xf numFmtId="0" fontId="13" fillId="0" borderId="0" xfId="0" applyFont="1" applyAlignment="1">
      <alignment horizontal="center" vertical="center" wrapText="1"/>
    </xf>
    <xf numFmtId="0" fontId="28" fillId="0" borderId="0" xfId="0" applyFont="1" applyAlignment="1">
      <alignment horizontal="center" wrapText="1"/>
    </xf>
    <xf numFmtId="0" fontId="12" fillId="20" borderId="0" xfId="0" applyFont="1" applyFill="1" applyAlignment="1">
      <alignment wrapText="1"/>
    </xf>
    <xf numFmtId="0" fontId="12" fillId="20" borderId="0" xfId="0" applyFont="1" applyFill="1" applyAlignment="1">
      <alignment vertical="center" wrapText="1"/>
    </xf>
    <xf numFmtId="0" fontId="12" fillId="0" borderId="0" xfId="0" applyFont="1" applyAlignment="1">
      <alignment vertical="top" wrapText="1"/>
    </xf>
    <xf numFmtId="0" fontId="78" fillId="0" borderId="0" xfId="0" applyFont="1" applyAlignment="1">
      <alignment wrapText="1"/>
    </xf>
    <xf numFmtId="0" fontId="0" fillId="0" borderId="21" xfId="0" applyBorder="1"/>
    <xf numFmtId="0" fontId="0" fillId="0" borderId="8" xfId="0" applyBorder="1"/>
    <xf numFmtId="0" fontId="0" fillId="0" borderId="7" xfId="0" applyBorder="1"/>
    <xf numFmtId="0" fontId="89" fillId="13" borderId="37" xfId="0" applyFont="1" applyFill="1" applyBorder="1" applyAlignment="1">
      <alignment horizontal="center" vertical="center" wrapText="1"/>
    </xf>
    <xf numFmtId="0" fontId="41" fillId="0" borderId="0" xfId="0" applyFont="1" applyAlignment="1">
      <alignment vertical="center"/>
    </xf>
    <xf numFmtId="0" fontId="0" fillId="7" borderId="0" xfId="0" applyFill="1"/>
    <xf numFmtId="0" fontId="12" fillId="0" borderId="18" xfId="0" applyFont="1" applyBorder="1" applyAlignment="1">
      <alignment horizontal="center"/>
    </xf>
    <xf numFmtId="0" fontId="12" fillId="0" borderId="18" xfId="0" applyFont="1" applyBorder="1"/>
    <xf numFmtId="0" fontId="20" fillId="5" borderId="18" xfId="0" applyFont="1" applyFill="1" applyBorder="1" applyAlignment="1">
      <alignment horizontal="center" vertical="center" wrapText="1"/>
    </xf>
    <xf numFmtId="0" fontId="20" fillId="5" borderId="29" xfId="0" applyFont="1" applyFill="1" applyBorder="1" applyAlignment="1">
      <alignment horizontal="center" vertical="center" wrapText="1"/>
    </xf>
    <xf numFmtId="9" fontId="22" fillId="0" borderId="18" xfId="0" applyNumberFormat="1" applyFont="1" applyBorder="1" applyAlignment="1">
      <alignment horizontal="center" vertical="center"/>
    </xf>
    <xf numFmtId="0" fontId="22" fillId="0" borderId="18" xfId="1" applyNumberFormat="1" applyFont="1" applyBorder="1" applyAlignment="1">
      <alignment horizontal="center" vertical="center"/>
    </xf>
    <xf numFmtId="0" fontId="61" fillId="15" borderId="18" xfId="24" applyFont="1" applyBorder="1" applyAlignment="1">
      <alignment horizontal="center" vertical="center"/>
    </xf>
    <xf numFmtId="20" fontId="12" fillId="0" borderId="18" xfId="0" applyNumberFormat="1" applyFont="1" applyBorder="1" applyAlignment="1">
      <alignment horizontal="center" vertical="center"/>
    </xf>
    <xf numFmtId="49" fontId="12" fillId="0" borderId="18" xfId="0" quotePrefix="1" applyNumberFormat="1" applyFont="1" applyBorder="1" applyAlignment="1">
      <alignment horizontal="center" vertical="center"/>
    </xf>
    <xf numFmtId="49" fontId="12" fillId="0" borderId="18" xfId="0" applyNumberFormat="1" applyFont="1" applyBorder="1" applyAlignment="1">
      <alignment horizontal="center" vertical="center"/>
    </xf>
    <xf numFmtId="0" fontId="12" fillId="0" borderId="28" xfId="0" applyFont="1" applyBorder="1" applyAlignment="1">
      <alignment horizontal="center" vertical="center" wrapText="1"/>
    </xf>
    <xf numFmtId="0" fontId="12" fillId="0" borderId="28" xfId="0" applyFont="1" applyBorder="1" applyAlignment="1">
      <alignment vertical="center"/>
    </xf>
    <xf numFmtId="0" fontId="20" fillId="0" borderId="18" xfId="0" applyFont="1" applyBorder="1" applyAlignment="1">
      <alignment vertical="center"/>
    </xf>
    <xf numFmtId="0" fontId="59" fillId="15" borderId="18" xfId="24" applyBorder="1" applyAlignment="1">
      <alignment horizontal="center" vertical="center"/>
    </xf>
    <xf numFmtId="0" fontId="20" fillId="0" borderId="18" xfId="0" applyFont="1" applyBorder="1" applyAlignment="1">
      <alignment horizontal="center"/>
    </xf>
    <xf numFmtId="0" fontId="20" fillId="0" borderId="18" xfId="0" applyFont="1" applyBorder="1" applyAlignment="1">
      <alignment horizontal="center" vertical="center"/>
    </xf>
    <xf numFmtId="0" fontId="12" fillId="0" borderId="18" xfId="0" applyFont="1" applyFill="1" applyBorder="1" applyAlignment="1">
      <alignment horizontal="center" vertical="center"/>
    </xf>
    <xf numFmtId="0" fontId="62" fillId="14" borderId="18" xfId="23" applyFont="1" applyBorder="1" applyAlignment="1">
      <alignment horizontal="center" vertical="center" wrapText="1"/>
    </xf>
    <xf numFmtId="0" fontId="63" fillId="16" borderId="18" xfId="25" applyFont="1" applyBorder="1" applyAlignment="1">
      <alignment horizontal="center" vertical="center"/>
    </xf>
    <xf numFmtId="49" fontId="12" fillId="0" borderId="18" xfId="0" quotePrefix="1" applyNumberFormat="1" applyFont="1" applyFill="1" applyBorder="1" applyAlignment="1">
      <alignment horizontal="center" vertical="center"/>
    </xf>
    <xf numFmtId="0" fontId="29" fillId="0" borderId="0" xfId="0" applyNumberFormat="1" applyFont="1" applyAlignment="1">
      <alignment horizontal="center" vertical="center"/>
    </xf>
    <xf numFmtId="0" fontId="12" fillId="0" borderId="0" xfId="0" applyFont="1" applyFill="1" applyAlignment="1">
      <alignment vertical="top" wrapText="1"/>
    </xf>
    <xf numFmtId="0" fontId="84" fillId="0" borderId="0" xfId="0" applyFont="1" applyFill="1" applyAlignment="1">
      <alignment wrapText="1"/>
    </xf>
    <xf numFmtId="0" fontId="12" fillId="0" borderId="0" xfId="0" applyFont="1" applyFill="1"/>
    <xf numFmtId="0" fontId="11" fillId="0" borderId="0" xfId="0" applyFont="1" applyFill="1" applyAlignment="1">
      <alignment horizontal="left" vertical="center" wrapText="1"/>
    </xf>
    <xf numFmtId="9" fontId="91" fillId="7" borderId="11" xfId="0" applyNumberFormat="1" applyFont="1" applyFill="1" applyBorder="1" applyAlignment="1">
      <alignment horizontal="center" vertical="center" wrapText="1"/>
    </xf>
    <xf numFmtId="9" fontId="79" fillId="7" borderId="18" xfId="1" applyFont="1" applyFill="1" applyBorder="1" applyAlignment="1">
      <alignment horizontal="center" vertical="center" wrapText="1"/>
    </xf>
    <xf numFmtId="9" fontId="29" fillId="7" borderId="18" xfId="0" applyNumberFormat="1" applyFont="1" applyFill="1" applyBorder="1" applyAlignment="1">
      <alignment horizontal="center" vertical="center"/>
    </xf>
    <xf numFmtId="0" fontId="93" fillId="0" borderId="0" xfId="0" applyFont="1"/>
    <xf numFmtId="0" fontId="93" fillId="0" borderId="0" xfId="0" applyFont="1" applyAlignment="1">
      <alignment horizontal="left" vertical="center"/>
    </xf>
    <xf numFmtId="0" fontId="4" fillId="19" borderId="0" xfId="0" applyFont="1" applyFill="1" applyBorder="1"/>
    <xf numFmtId="0" fontId="93" fillId="0" borderId="0" xfId="0" applyFont="1" applyAlignment="1">
      <alignment horizontal="left" vertical="center" wrapText="1"/>
    </xf>
    <xf numFmtId="0" fontId="93" fillId="0" borderId="0" xfId="0" applyFont="1" applyAlignment="1">
      <alignment wrapText="1"/>
    </xf>
    <xf numFmtId="0" fontId="0" fillId="19" borderId="0" xfId="0" applyFill="1" applyAlignment="1">
      <alignment horizontal="center"/>
    </xf>
    <xf numFmtId="0" fontId="0" fillId="19" borderId="0" xfId="0" applyFill="1" applyAlignment="1">
      <alignment horizontal="left"/>
    </xf>
    <xf numFmtId="0" fontId="94" fillId="0" borderId="0" xfId="0" applyFont="1" applyBorder="1" applyAlignment="1">
      <alignment vertical="center" wrapText="1"/>
    </xf>
    <xf numFmtId="0" fontId="78" fillId="7" borderId="9" xfId="0" applyFont="1" applyFill="1" applyBorder="1" applyAlignment="1">
      <alignment vertical="center" wrapText="1"/>
    </xf>
    <xf numFmtId="0" fontId="78" fillId="7" borderId="9" xfId="0" applyFont="1" applyFill="1" applyBorder="1" applyAlignment="1">
      <alignment horizontal="left" vertical="center" wrapText="1"/>
    </xf>
    <xf numFmtId="0" fontId="95" fillId="0" borderId="0" xfId="0" applyFont="1" applyAlignment="1">
      <alignment horizontal="left" vertical="center" wrapText="1"/>
    </xf>
    <xf numFmtId="0" fontId="80" fillId="0" borderId="0" xfId="0" applyFont="1" applyAlignment="1">
      <alignment vertical="center" wrapText="1"/>
    </xf>
    <xf numFmtId="0" fontId="24" fillId="0" borderId="0" xfId="0" applyFont="1"/>
    <xf numFmtId="0" fontId="57" fillId="0" borderId="0" xfId="0" applyFont="1" applyAlignment="1">
      <alignment horizontal="left"/>
    </xf>
    <xf numFmtId="0" fontId="6" fillId="0" borderId="0" xfId="0" applyFont="1" applyAlignment="1">
      <alignment horizontal="center"/>
    </xf>
    <xf numFmtId="0" fontId="12" fillId="0" borderId="0" xfId="0" applyFont="1" applyFill="1" applyAlignment="1">
      <alignment horizontal="left" vertical="center" wrapText="1" indent="1"/>
    </xf>
    <xf numFmtId="0" fontId="6" fillId="9" borderId="57" xfId="0" applyFont="1" applyFill="1" applyBorder="1" applyAlignment="1" applyProtection="1">
      <alignment horizontal="left" vertical="center" wrapText="1"/>
      <protection locked="0"/>
    </xf>
    <xf numFmtId="0" fontId="6" fillId="9" borderId="24" xfId="0" applyFont="1" applyFill="1" applyBorder="1" applyAlignment="1" applyProtection="1">
      <alignment horizontal="left" vertical="center" wrapText="1"/>
      <protection locked="0"/>
    </xf>
    <xf numFmtId="0" fontId="11" fillId="9" borderId="18" xfId="0" applyFont="1" applyFill="1" applyBorder="1" applyAlignment="1" applyProtection="1">
      <alignment wrapText="1"/>
      <protection locked="0"/>
    </xf>
    <xf numFmtId="0" fontId="11" fillId="9" borderId="16" xfId="0" applyFont="1" applyFill="1" applyBorder="1" applyProtection="1">
      <protection locked="0"/>
    </xf>
    <xf numFmtId="0" fontId="11" fillId="9" borderId="32" xfId="0" applyFont="1" applyFill="1" applyBorder="1" applyAlignment="1" applyProtection="1">
      <alignment wrapText="1"/>
      <protection locked="0"/>
    </xf>
    <xf numFmtId="0" fontId="6" fillId="9" borderId="17" xfId="0" applyFont="1" applyFill="1" applyBorder="1" applyProtection="1">
      <protection locked="0"/>
    </xf>
    <xf numFmtId="0" fontId="30" fillId="10" borderId="0" xfId="0" applyFont="1" applyFill="1" applyBorder="1" applyAlignment="1" applyProtection="1">
      <alignment horizontal="center" vertical="center" wrapText="1"/>
      <protection locked="0"/>
    </xf>
    <xf numFmtId="14" fontId="6" fillId="2" borderId="18" xfId="0" applyNumberFormat="1" applyFont="1" applyFill="1" applyBorder="1" applyAlignment="1" applyProtection="1">
      <alignment horizontal="center" vertical="center"/>
      <protection locked="0"/>
    </xf>
    <xf numFmtId="1" fontId="6" fillId="2" borderId="18" xfId="0" applyNumberFormat="1" applyFont="1" applyFill="1" applyBorder="1" applyAlignment="1" applyProtection="1">
      <alignment horizontal="center" vertical="center"/>
      <protection locked="0"/>
    </xf>
    <xf numFmtId="1" fontId="12" fillId="9" borderId="18" xfId="0" applyNumberFormat="1" applyFont="1" applyFill="1" applyBorder="1" applyAlignment="1" applyProtection="1">
      <alignment horizontal="center"/>
      <protection locked="0"/>
    </xf>
    <xf numFmtId="0" fontId="12" fillId="9" borderId="18" xfId="0" applyFont="1" applyFill="1" applyBorder="1" applyAlignment="1" applyProtection="1">
      <alignment horizontal="center" vertical="center"/>
      <protection locked="0"/>
    </xf>
    <xf numFmtId="0" fontId="11" fillId="8" borderId="18" xfId="0" applyFont="1" applyFill="1" applyBorder="1" applyAlignment="1" applyProtection="1">
      <alignment horizontal="center" vertical="center"/>
      <protection locked="0"/>
    </xf>
    <xf numFmtId="0" fontId="11" fillId="0" borderId="0" xfId="0" applyFont="1" applyAlignment="1" applyProtection="1">
      <alignment vertical="center"/>
      <protection locked="0"/>
    </xf>
    <xf numFmtId="0" fontId="12" fillId="5" borderId="18" xfId="0" applyFont="1" applyFill="1" applyBorder="1" applyAlignment="1" applyProtection="1">
      <alignment horizontal="center" vertical="center"/>
      <protection locked="0"/>
    </xf>
    <xf numFmtId="0" fontId="67" fillId="0" borderId="9" xfId="0" applyFont="1" applyBorder="1" applyAlignment="1" applyProtection="1">
      <alignment horizontal="left" vertical="center" wrapText="1"/>
      <protection locked="0"/>
    </xf>
    <xf numFmtId="0" fontId="67" fillId="0" borderId="3" xfId="0" applyFont="1" applyBorder="1" applyAlignment="1" applyProtection="1">
      <alignment horizontal="left" vertical="center" wrapText="1"/>
      <protection locked="0"/>
    </xf>
    <xf numFmtId="0" fontId="67" fillId="0" borderId="18" xfId="0" applyFont="1" applyBorder="1" applyAlignment="1" applyProtection="1">
      <alignment horizontal="left" vertical="center" wrapText="1"/>
      <protection locked="0"/>
    </xf>
    <xf numFmtId="0" fontId="67" fillId="0" borderId="3" xfId="0" applyFont="1" applyFill="1" applyBorder="1" applyAlignment="1" applyProtection="1">
      <alignment horizontal="left" vertical="center" wrapText="1"/>
      <protection locked="0"/>
    </xf>
    <xf numFmtId="0" fontId="67" fillId="4" borderId="1" xfId="0" applyFont="1" applyFill="1" applyBorder="1" applyAlignment="1" applyProtection="1">
      <alignment horizontal="left" vertical="center" wrapText="1"/>
      <protection locked="0"/>
    </xf>
    <xf numFmtId="0" fontId="22" fillId="12" borderId="18"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67" fillId="0" borderId="6" xfId="0" applyFont="1" applyBorder="1" applyAlignment="1" applyProtection="1">
      <alignment horizontal="left" vertical="center" wrapText="1"/>
      <protection locked="0"/>
    </xf>
    <xf numFmtId="0" fontId="67" fillId="0" borderId="10" xfId="0" applyFont="1" applyBorder="1" applyAlignment="1" applyProtection="1">
      <alignment horizontal="left" vertical="center" wrapText="1"/>
      <protection locked="0"/>
    </xf>
    <xf numFmtId="0" fontId="67" fillId="0" borderId="10" xfId="0" applyFont="1" applyFill="1" applyBorder="1" applyAlignment="1" applyProtection="1">
      <alignment horizontal="left" vertical="center" wrapText="1"/>
      <protection locked="0"/>
    </xf>
    <xf numFmtId="0" fontId="67" fillId="0" borderId="21" xfId="0" applyFont="1" applyFill="1" applyBorder="1" applyAlignment="1" applyProtection="1">
      <alignment horizontal="left" vertical="center" wrapText="1"/>
      <protection locked="0"/>
    </xf>
    <xf numFmtId="0" fontId="67" fillId="0" borderId="21" xfId="0" applyFont="1" applyBorder="1" applyAlignment="1" applyProtection="1">
      <alignment horizontal="left" vertical="center" wrapText="1"/>
      <protection locked="0"/>
    </xf>
    <xf numFmtId="0" fontId="67" fillId="0" borderId="9" xfId="0" applyFont="1" applyBorder="1" applyAlignment="1" applyProtection="1">
      <alignment vertical="center" wrapText="1"/>
      <protection locked="0"/>
    </xf>
    <xf numFmtId="0" fontId="67" fillId="0" borderId="18" xfId="0" applyFont="1" applyBorder="1" applyAlignment="1" applyProtection="1">
      <alignment vertical="center" wrapText="1"/>
      <protection locked="0"/>
    </xf>
    <xf numFmtId="0" fontId="12" fillId="5" borderId="0" xfId="0" applyFont="1" applyFill="1" applyAlignment="1" applyProtection="1">
      <alignment horizontal="center" vertical="center"/>
      <protection locked="0"/>
    </xf>
    <xf numFmtId="0" fontId="67" fillId="0" borderId="18" xfId="0" applyFont="1" applyBorder="1" applyAlignment="1" applyProtection="1">
      <alignment horizontal="left" vertical="center"/>
      <protection locked="0"/>
    </xf>
    <xf numFmtId="0" fontId="67" fillId="0" borderId="1" xfId="0" applyFont="1" applyBorder="1" applyAlignment="1" applyProtection="1">
      <alignment horizontal="left" vertical="center" wrapText="1"/>
      <protection locked="0"/>
    </xf>
    <xf numFmtId="0" fontId="22" fillId="5" borderId="0" xfId="0" applyFont="1" applyFill="1" applyAlignment="1" applyProtection="1">
      <alignment horizontal="center" vertical="center"/>
      <protection locked="0"/>
    </xf>
    <xf numFmtId="0" fontId="17" fillId="4" borderId="1"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9" xfId="0" applyFont="1" applyFill="1" applyBorder="1" applyAlignment="1" applyProtection="1">
      <alignment vertical="center" wrapText="1"/>
      <protection locked="0"/>
    </xf>
    <xf numFmtId="0" fontId="22" fillId="0" borderId="9" xfId="0" applyFont="1" applyBorder="1" applyAlignment="1" applyProtection="1">
      <alignment vertical="center" wrapText="1"/>
      <protection locked="0"/>
    </xf>
    <xf numFmtId="0" fontId="22" fillId="0" borderId="3"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22" fillId="0" borderId="13" xfId="0" applyFont="1" applyBorder="1" applyAlignment="1" applyProtection="1">
      <alignment vertical="center" wrapText="1"/>
      <protection locked="0"/>
    </xf>
    <xf numFmtId="0" fontId="22" fillId="0" borderId="18" xfId="0" applyFont="1" applyBorder="1" applyAlignment="1" applyProtection="1">
      <alignment vertical="center" wrapText="1"/>
      <protection locked="0"/>
    </xf>
    <xf numFmtId="0" fontId="17" fillId="0" borderId="18" xfId="0" applyFont="1" applyBorder="1" applyAlignment="1" applyProtection="1">
      <alignment horizontal="left" vertical="center" wrapText="1"/>
      <protection locked="0"/>
    </xf>
    <xf numFmtId="0" fontId="12" fillId="8" borderId="0" xfId="0" applyFont="1" applyFill="1" applyAlignment="1" applyProtection="1">
      <alignment horizontal="center" vertical="center"/>
      <protection locked="0"/>
    </xf>
    <xf numFmtId="0" fontId="22" fillId="0" borderId="18" xfId="0" applyFont="1" applyFill="1" applyBorder="1" applyAlignment="1" applyProtection="1">
      <alignment vertical="center" wrapText="1"/>
      <protection locked="0"/>
    </xf>
    <xf numFmtId="0" fontId="17" fillId="4" borderId="40" xfId="0" applyFont="1" applyFill="1" applyBorder="1" applyAlignment="1" applyProtection="1">
      <alignment horizontal="left" vertical="center" wrapText="1"/>
      <protection locked="0"/>
    </xf>
    <xf numFmtId="0" fontId="22" fillId="0" borderId="14" xfId="0" applyFont="1" applyBorder="1" applyAlignment="1" applyProtection="1">
      <alignment vertical="center" wrapText="1"/>
      <protection locked="0"/>
    </xf>
    <xf numFmtId="0" fontId="67" fillId="0" borderId="21" xfId="0" applyFont="1" applyBorder="1" applyAlignment="1" applyProtection="1">
      <alignment vertical="center" wrapText="1"/>
      <protection locked="0"/>
    </xf>
    <xf numFmtId="0" fontId="67" fillId="0" borderId="8" xfId="0" applyFont="1" applyBorder="1" applyAlignment="1" applyProtection="1">
      <alignment vertical="center" wrapText="1"/>
      <protection locked="0"/>
    </xf>
    <xf numFmtId="0" fontId="67" fillId="0" borderId="7" xfId="0" applyFont="1" applyBorder="1" applyAlignment="1" applyProtection="1">
      <alignment vertical="center" wrapText="1"/>
      <protection locked="0"/>
    </xf>
    <xf numFmtId="0" fontId="67" fillId="0" borderId="9" xfId="0" applyFont="1" applyFill="1" applyBorder="1" applyAlignment="1" applyProtection="1">
      <alignment vertical="center" wrapText="1"/>
      <protection locked="0"/>
    </xf>
    <xf numFmtId="0" fontId="12" fillId="0" borderId="0" xfId="0" applyFont="1" applyProtection="1">
      <protection locked="0"/>
    </xf>
    <xf numFmtId="0" fontId="18" fillId="0" borderId="0" xfId="0" applyFont="1" applyAlignment="1">
      <alignment horizontal="left" vertical="center" wrapText="1" indent="1"/>
    </xf>
    <xf numFmtId="0" fontId="7" fillId="0" borderId="0" xfId="0" applyFont="1" applyAlignment="1" applyProtection="1">
      <alignment horizontal="center"/>
    </xf>
    <xf numFmtId="0" fontId="85" fillId="0" borderId="0" xfId="0" applyFont="1" applyFill="1"/>
    <xf numFmtId="0" fontId="86" fillId="21" borderId="2" xfId="0" applyFont="1" applyFill="1" applyBorder="1" applyAlignment="1" applyProtection="1">
      <alignment horizontal="center"/>
      <protection locked="0"/>
    </xf>
    <xf numFmtId="0" fontId="12" fillId="0" borderId="0" xfId="0" applyFont="1" applyBorder="1" applyAlignment="1">
      <alignment horizontal="left" vertical="center" wrapText="1"/>
    </xf>
    <xf numFmtId="0" fontId="16" fillId="0" borderId="0" xfId="0" applyFont="1" applyAlignment="1">
      <alignment horizontal="left" vertical="center" wrapText="1"/>
    </xf>
    <xf numFmtId="0" fontId="57" fillId="0" borderId="0" xfId="0" applyFont="1" applyAlignment="1">
      <alignment horizontal="center" vertical="center"/>
    </xf>
    <xf numFmtId="0" fontId="21" fillId="3" borderId="11" xfId="0" applyFont="1" applyFill="1" applyBorder="1" applyAlignment="1">
      <alignment wrapText="1"/>
    </xf>
    <xf numFmtId="0" fontId="29" fillId="0" borderId="0" xfId="0" applyFont="1" applyBorder="1" applyAlignment="1">
      <alignment vertical="center" wrapText="1"/>
    </xf>
    <xf numFmtId="0" fontId="22" fillId="0" borderId="28" xfId="0" applyFont="1" applyBorder="1" applyAlignment="1">
      <alignment vertical="center" wrapText="1"/>
    </xf>
    <xf numFmtId="0" fontId="12" fillId="0" borderId="28" xfId="0" applyFont="1" applyBorder="1" applyAlignment="1">
      <alignment horizontal="left" vertical="center" wrapText="1"/>
    </xf>
    <xf numFmtId="0" fontId="18" fillId="0" borderId="0" xfId="0" applyFont="1" applyAlignment="1">
      <alignment horizontal="right" vertical="center" wrapText="1"/>
    </xf>
    <xf numFmtId="0" fontId="38" fillId="0" borderId="0" xfId="0" applyFont="1" applyBorder="1" applyAlignment="1">
      <alignment horizontal="right" vertical="center" wrapText="1"/>
    </xf>
    <xf numFmtId="0" fontId="27" fillId="7" borderId="18" xfId="0" applyFont="1" applyFill="1" applyBorder="1" applyAlignment="1">
      <alignment vertical="center" wrapText="1"/>
    </xf>
    <xf numFmtId="0" fontId="47" fillId="7" borderId="0" xfId="0" applyFont="1" applyFill="1" applyAlignment="1">
      <alignment vertical="center" wrapText="1"/>
    </xf>
    <xf numFmtId="0" fontId="64" fillId="5" borderId="18" xfId="0" applyFont="1" applyFill="1" applyBorder="1" applyAlignment="1">
      <alignment vertical="center" wrapText="1"/>
    </xf>
    <xf numFmtId="0" fontId="4" fillId="19" borderId="0" xfId="0" applyFont="1" applyFill="1"/>
    <xf numFmtId="0" fontId="87" fillId="7" borderId="18" xfId="0" applyFont="1" applyFill="1" applyBorder="1" applyAlignment="1">
      <alignment vertical="center" wrapText="1"/>
    </xf>
    <xf numFmtId="0" fontId="100" fillId="6" borderId="0" xfId="0" applyFont="1" applyFill="1" applyBorder="1" applyAlignment="1">
      <alignment vertical="center" wrapText="1"/>
    </xf>
    <xf numFmtId="9" fontId="48" fillId="6" borderId="0" xfId="0" applyNumberFormat="1" applyFont="1" applyFill="1" applyBorder="1" applyAlignment="1">
      <alignment horizontal="center" vertical="center" wrapText="1"/>
    </xf>
    <xf numFmtId="0" fontId="12" fillId="0" borderId="0" xfId="0" applyFont="1" applyBorder="1" applyAlignment="1">
      <alignment horizontal="center" vertical="center"/>
    </xf>
    <xf numFmtId="9" fontId="0" fillId="0" borderId="0" xfId="0" applyNumberFormat="1" applyBorder="1" applyAlignment="1">
      <alignment horizontal="center" vertical="center"/>
    </xf>
    <xf numFmtId="0" fontId="12" fillId="0" borderId="0" xfId="0" applyFont="1" applyFill="1" applyBorder="1" applyAlignment="1">
      <alignment vertical="center" wrapText="1"/>
    </xf>
    <xf numFmtId="9" fontId="0" fillId="0" borderId="0" xfId="0" applyNumberFormat="1" applyFill="1" applyBorder="1" applyAlignment="1">
      <alignment horizontal="center" vertical="center"/>
    </xf>
    <xf numFmtId="0" fontId="28" fillId="0" borderId="55" xfId="0" applyFont="1" applyBorder="1" applyAlignment="1">
      <alignment horizontal="center"/>
    </xf>
    <xf numFmtId="0" fontId="37" fillId="0" borderId="56" xfId="0" applyFont="1" applyBorder="1" applyAlignment="1">
      <alignment horizontal="center"/>
    </xf>
    <xf numFmtId="0" fontId="18" fillId="0" borderId="22" xfId="0" applyFont="1" applyBorder="1" applyAlignment="1">
      <alignment horizontal="left" vertical="center" wrapText="1" indent="1"/>
    </xf>
    <xf numFmtId="0" fontId="85" fillId="19" borderId="0" xfId="0" applyFont="1" applyFill="1"/>
    <xf numFmtId="0" fontId="12" fillId="19" borderId="0" xfId="0" applyFont="1" applyFill="1" applyAlignment="1">
      <alignment wrapText="1"/>
    </xf>
    <xf numFmtId="0" fontId="84" fillId="19" borderId="0" xfId="0" applyFont="1" applyFill="1" applyAlignment="1">
      <alignment wrapText="1"/>
    </xf>
    <xf numFmtId="0" fontId="12" fillId="19" borderId="0" xfId="0" applyFont="1" applyFill="1"/>
    <xf numFmtId="0" fontId="97" fillId="19" borderId="0" xfId="0" applyFont="1" applyFill="1" applyAlignment="1">
      <alignment vertical="center" wrapText="1"/>
    </xf>
    <xf numFmtId="0" fontId="38" fillId="0" borderId="22" xfId="0" applyFont="1" applyBorder="1" applyAlignment="1">
      <alignment vertical="center" wrapText="1"/>
    </xf>
    <xf numFmtId="0" fontId="12" fillId="0" borderId="22" xfId="0" applyFont="1" applyBorder="1" applyAlignment="1">
      <alignment vertical="center" wrapText="1"/>
    </xf>
    <xf numFmtId="0" fontId="38" fillId="0" borderId="0" xfId="0" applyFont="1" applyBorder="1" applyAlignment="1">
      <alignment vertical="center" wrapText="1"/>
    </xf>
    <xf numFmtId="0" fontId="97" fillId="0" borderId="0" xfId="0" applyFont="1" applyFill="1" applyAlignment="1">
      <alignment vertical="center" wrapText="1"/>
    </xf>
    <xf numFmtId="0" fontId="97" fillId="0" borderId="0" xfId="0" applyFont="1" applyFill="1" applyBorder="1" applyAlignment="1">
      <alignment vertical="center" wrapText="1"/>
    </xf>
    <xf numFmtId="0" fontId="97" fillId="22" borderId="0" xfId="0" applyFont="1" applyFill="1" applyBorder="1" applyAlignment="1">
      <alignment vertical="center" wrapText="1"/>
    </xf>
    <xf numFmtId="0" fontId="8" fillId="0" borderId="0" xfId="0" applyFont="1" applyBorder="1" applyAlignment="1">
      <alignment horizontal="left" vertical="center" wrapText="1" indent="1"/>
    </xf>
    <xf numFmtId="0" fontId="45" fillId="0" borderId="0" xfId="18" applyFont="1" applyAlignment="1">
      <alignment horizontal="left" vertical="center" wrapText="1" indent="1"/>
    </xf>
    <xf numFmtId="0" fontId="12" fillId="0" borderId="0" xfId="0" applyFont="1" applyBorder="1" applyAlignment="1">
      <alignment horizontal="left" vertical="center" wrapText="1" indent="1"/>
    </xf>
    <xf numFmtId="0" fontId="11" fillId="0" borderId="0" xfId="0" applyFont="1" applyAlignment="1">
      <alignment horizontal="left" vertical="center" wrapText="1" indent="1"/>
    </xf>
    <xf numFmtId="0" fontId="1" fillId="0" borderId="0" xfId="0" applyFont="1" applyAlignment="1">
      <alignment horizontal="left" vertical="center"/>
    </xf>
    <xf numFmtId="0" fontId="45" fillId="0" borderId="0" xfId="18" applyFont="1"/>
    <xf numFmtId="0" fontId="6" fillId="0" borderId="0" xfId="0" applyFont="1" applyBorder="1" applyAlignment="1">
      <alignment horizontal="left" vertical="center" wrapText="1"/>
    </xf>
    <xf numFmtId="0" fontId="26" fillId="0" borderId="0" xfId="0" applyFont="1" applyAlignment="1">
      <alignment horizontal="left" vertical="center" wrapText="1"/>
    </xf>
    <xf numFmtId="0" fontId="22" fillId="0" borderId="0" xfId="0" applyFont="1" applyFill="1" applyAlignment="1">
      <alignment horizontal="center" vertical="center" wrapText="1"/>
    </xf>
    <xf numFmtId="0" fontId="41" fillId="0" borderId="0" xfId="0" applyFont="1" applyAlignment="1">
      <alignment horizontal="center" vertical="center" wrapText="1"/>
    </xf>
    <xf numFmtId="0" fontId="33" fillId="0" borderId="0" xfId="0" applyFont="1" applyAlignment="1">
      <alignment vertical="center"/>
    </xf>
    <xf numFmtId="0" fontId="6" fillId="0" borderId="0" xfId="0" applyFont="1" applyAlignment="1">
      <alignment horizontal="center" vertical="center"/>
    </xf>
    <xf numFmtId="0" fontId="57" fillId="0" borderId="0" xfId="0" applyFont="1" applyAlignment="1">
      <alignment horizontal="center" vertical="center" wrapText="1"/>
    </xf>
    <xf numFmtId="0" fontId="68" fillId="0" borderId="0" xfId="0" applyFont="1" applyAlignment="1">
      <alignment vertical="center"/>
    </xf>
    <xf numFmtId="0" fontId="67" fillId="0" borderId="0" xfId="0" applyFont="1" applyAlignment="1">
      <alignment vertical="center"/>
    </xf>
    <xf numFmtId="0" fontId="15" fillId="0" borderId="0" xfId="0" applyFont="1" applyAlignment="1">
      <alignment vertical="center"/>
    </xf>
    <xf numFmtId="0" fontId="0" fillId="0" borderId="0" xfId="0" applyFont="1" applyAlignment="1">
      <alignment vertical="center"/>
    </xf>
    <xf numFmtId="0" fontId="13" fillId="0" borderId="0" xfId="0" applyFont="1" applyAlignment="1">
      <alignment vertical="center"/>
    </xf>
    <xf numFmtId="0" fontId="37" fillId="0" borderId="0" xfId="0" applyFont="1" applyAlignment="1">
      <alignment horizontal="left" vertical="center"/>
    </xf>
    <xf numFmtId="0" fontId="49" fillId="0" borderId="0" xfId="0" applyFont="1" applyAlignment="1">
      <alignment vertical="center"/>
    </xf>
    <xf numFmtId="9" fontId="0" fillId="0" borderId="0" xfId="0" applyNumberFormat="1" applyAlignment="1">
      <alignment vertical="center"/>
    </xf>
    <xf numFmtId="2" fontId="0" fillId="0" borderId="0" xfId="0" applyNumberFormat="1" applyAlignment="1">
      <alignment vertical="center"/>
    </xf>
    <xf numFmtId="0" fontId="0" fillId="0" borderId="0" xfId="0" applyFill="1" applyAlignment="1">
      <alignment vertical="center"/>
    </xf>
    <xf numFmtId="0" fontId="35" fillId="0" borderId="0" xfId="0" applyFont="1" applyFill="1" applyAlignment="1">
      <alignment vertical="center" wrapText="1"/>
    </xf>
    <xf numFmtId="0" fontId="33" fillId="0" borderId="0" xfId="0" applyFont="1" applyFill="1" applyAlignment="1">
      <alignment vertical="center" wrapText="1"/>
    </xf>
    <xf numFmtId="0" fontId="22" fillId="0" borderId="0" xfId="0" applyFont="1" applyAlignment="1">
      <alignment vertical="center"/>
    </xf>
    <xf numFmtId="0" fontId="34" fillId="0" borderId="0" xfId="0" applyFont="1" applyAlignment="1">
      <alignment vertical="center" wrapText="1"/>
    </xf>
    <xf numFmtId="0" fontId="22" fillId="0" borderId="7"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0" fontId="22" fillId="0" borderId="15" xfId="0" applyFont="1" applyBorder="1" applyAlignment="1">
      <alignment vertical="center" wrapText="1"/>
    </xf>
    <xf numFmtId="0" fontId="33" fillId="0" borderId="0" xfId="0" applyFont="1" applyFill="1" applyAlignment="1">
      <alignment vertical="center"/>
    </xf>
    <xf numFmtId="0" fontId="23" fillId="0" borderId="0" xfId="0" applyFont="1" applyAlignment="1">
      <alignment vertical="center"/>
    </xf>
    <xf numFmtId="0" fontId="51" fillId="0" borderId="0" xfId="0" applyFont="1" applyAlignment="1">
      <alignment vertical="center"/>
    </xf>
    <xf numFmtId="0" fontId="13" fillId="0" borderId="5" xfId="0" applyFont="1" applyBorder="1" applyAlignment="1">
      <alignment vertical="center"/>
    </xf>
    <xf numFmtId="0" fontId="36" fillId="0" borderId="0" xfId="0" applyFont="1" applyAlignment="1">
      <alignment vertical="center"/>
    </xf>
    <xf numFmtId="0" fontId="0" fillId="0" borderId="0" xfId="0" applyBorder="1" applyAlignment="1">
      <alignment vertical="center"/>
    </xf>
    <xf numFmtId="3" fontId="0" fillId="0" borderId="0" xfId="0" applyNumberFormat="1" applyAlignment="1">
      <alignment vertical="center"/>
    </xf>
    <xf numFmtId="0" fontId="30" fillId="0" borderId="0" xfId="0" applyFont="1" applyFill="1" applyAlignment="1">
      <alignment horizontal="left" wrapText="1" indent="1"/>
    </xf>
    <xf numFmtId="0" fontId="30" fillId="0" borderId="0" xfId="0" applyFont="1" applyAlignment="1">
      <alignment horizontal="left" wrapText="1" indent="1"/>
    </xf>
    <xf numFmtId="0" fontId="38" fillId="0" borderId="0" xfId="0" applyFont="1" applyFill="1" applyAlignment="1">
      <alignment horizontal="left" vertical="center" wrapText="1" indent="1"/>
    </xf>
    <xf numFmtId="0" fontId="12" fillId="5" borderId="0" xfId="0" applyFont="1" applyFill="1" applyAlignment="1" applyProtection="1">
      <alignment horizontal="left" vertical="center" indent="1"/>
      <protection locked="0"/>
    </xf>
    <xf numFmtId="0" fontId="67" fillId="0" borderId="1" xfId="0" applyFont="1" applyBorder="1" applyAlignment="1">
      <alignment vertical="center" wrapText="1"/>
    </xf>
    <xf numFmtId="0" fontId="6" fillId="2" borderId="0" xfId="0" applyFont="1" applyFill="1" applyBorder="1" applyAlignment="1" applyProtection="1">
      <alignment horizontal="left" vertical="center" wrapText="1" indent="1"/>
      <protection locked="0"/>
    </xf>
    <xf numFmtId="0" fontId="77" fillId="0" borderId="22" xfId="0" applyFont="1" applyBorder="1" applyAlignment="1">
      <alignment horizontal="left" vertical="center" wrapText="1" indent="1"/>
    </xf>
    <xf numFmtId="0" fontId="57" fillId="0" borderId="0" xfId="0" applyFont="1" applyBorder="1" applyAlignment="1">
      <alignment vertical="center" wrapText="1"/>
    </xf>
    <xf numFmtId="0" fontId="22" fillId="0" borderId="0" xfId="0" applyFont="1" applyBorder="1" applyAlignment="1" applyProtection="1">
      <alignment vertical="center" wrapText="1"/>
      <protection locked="0"/>
    </xf>
    <xf numFmtId="0" fontId="45" fillId="0" borderId="0" xfId="18" applyFont="1" applyAlignment="1">
      <alignment vertical="center"/>
    </xf>
    <xf numFmtId="0" fontId="45" fillId="0" borderId="0" xfId="18" applyFont="1" applyFill="1"/>
    <xf numFmtId="0" fontId="4" fillId="0" borderId="52" xfId="0" applyFont="1" applyBorder="1" applyAlignment="1">
      <alignment wrapText="1"/>
    </xf>
    <xf numFmtId="0" fontId="22" fillId="20" borderId="64" xfId="0" applyFont="1" applyFill="1" applyBorder="1" applyAlignment="1">
      <alignment horizontal="left" vertical="top" wrapText="1"/>
    </xf>
    <xf numFmtId="0" fontId="12" fillId="20" borderId="65" xfId="0" applyFont="1" applyFill="1" applyBorder="1" applyAlignment="1">
      <alignment horizontal="left" vertical="top" wrapText="1"/>
    </xf>
    <xf numFmtId="0" fontId="12" fillId="0" borderId="65" xfId="0" applyFont="1" applyFill="1" applyBorder="1" applyAlignment="1">
      <alignment horizontal="left" vertical="top" wrapText="1"/>
    </xf>
    <xf numFmtId="0" fontId="93" fillId="20" borderId="65" xfId="0" applyFont="1" applyFill="1" applyBorder="1" applyAlignment="1">
      <alignment horizontal="left" vertical="top" wrapText="1"/>
    </xf>
    <xf numFmtId="0" fontId="45" fillId="0" borderId="65" xfId="18" applyFont="1" applyFill="1" applyBorder="1"/>
    <xf numFmtId="0" fontId="93" fillId="0" borderId="65" xfId="0" applyFont="1" applyBorder="1" applyAlignment="1">
      <alignment horizontal="left" vertical="center" wrapText="1"/>
    </xf>
    <xf numFmtId="0" fontId="93" fillId="20" borderId="65" xfId="0" applyFont="1" applyFill="1" applyBorder="1" applyAlignment="1">
      <alignment horizontal="left" vertical="top"/>
    </xf>
    <xf numFmtId="0" fontId="84" fillId="20" borderId="65" xfId="0" applyFont="1" applyFill="1" applyBorder="1" applyAlignment="1">
      <alignment horizontal="left" vertical="top" wrapText="1"/>
    </xf>
    <xf numFmtId="0" fontId="12" fillId="0" borderId="65" xfId="0" applyFont="1" applyBorder="1" applyAlignment="1">
      <alignment vertical="center" wrapText="1"/>
    </xf>
    <xf numFmtId="0" fontId="12" fillId="19" borderId="65" xfId="0" applyFont="1" applyFill="1" applyBorder="1" applyAlignment="1">
      <alignment horizontal="left" vertical="top" wrapText="1"/>
    </xf>
    <xf numFmtId="0" fontId="12" fillId="20" borderId="65" xfId="0" applyFont="1" applyFill="1" applyBorder="1" applyAlignment="1">
      <alignment horizontal="left" vertical="top"/>
    </xf>
    <xf numFmtId="0" fontId="15" fillId="0" borderId="5" xfId="0" applyFont="1" applyBorder="1" applyAlignment="1">
      <alignment horizontal="left" vertical="top" indent="1"/>
    </xf>
    <xf numFmtId="0" fontId="57" fillId="0" borderId="0" xfId="0" applyFont="1" applyAlignment="1">
      <alignment horizontal="left" vertical="top" indent="1"/>
    </xf>
    <xf numFmtId="0" fontId="0" fillId="0" borderId="0" xfId="0" applyAlignment="1">
      <alignment horizontal="left" vertical="top" indent="1"/>
    </xf>
    <xf numFmtId="0" fontId="0" fillId="0" borderId="0" xfId="0" applyAlignment="1">
      <alignment horizontal="left" vertical="top" wrapText="1" indent="1"/>
    </xf>
    <xf numFmtId="0" fontId="67" fillId="0" borderId="0" xfId="0" applyFont="1" applyAlignment="1">
      <alignment horizontal="left" vertical="top" wrapText="1" indent="1"/>
    </xf>
    <xf numFmtId="0" fontId="12" fillId="0" borderId="18" xfId="0" applyFont="1" applyBorder="1" applyAlignment="1" applyProtection="1">
      <alignment vertical="center" wrapText="1"/>
    </xf>
    <xf numFmtId="0" fontId="94" fillId="0" borderId="0" xfId="0" applyFont="1" applyBorder="1" applyAlignment="1">
      <alignment vertical="top" wrapText="1"/>
    </xf>
    <xf numFmtId="0" fontId="27" fillId="7" borderId="18" xfId="0" applyFont="1" applyFill="1" applyBorder="1" applyAlignment="1">
      <alignment horizontal="right" vertical="center"/>
    </xf>
    <xf numFmtId="0" fontId="27" fillId="7" borderId="18" xfId="0" applyFont="1" applyFill="1" applyBorder="1" applyAlignment="1">
      <alignment horizontal="right"/>
    </xf>
    <xf numFmtId="0" fontId="39" fillId="0" borderId="0" xfId="18" applyFill="1"/>
    <xf numFmtId="0" fontId="12" fillId="0" borderId="0" xfId="0" applyFont="1" applyFill="1" applyProtection="1">
      <protection locked="0"/>
    </xf>
    <xf numFmtId="0" fontId="12" fillId="19" borderId="0" xfId="0" applyFont="1" applyFill="1" applyProtection="1">
      <protection locked="0"/>
    </xf>
    <xf numFmtId="0" fontId="28" fillId="0" borderId="0" xfId="0" applyFont="1" applyAlignment="1" applyProtection="1">
      <alignment horizontal="center" wrapText="1"/>
      <protection locked="0"/>
    </xf>
    <xf numFmtId="0" fontId="28" fillId="20" borderId="65" xfId="0" applyFont="1" applyFill="1" applyBorder="1" applyAlignment="1">
      <alignment horizontal="center" vertical="top" wrapText="1"/>
    </xf>
    <xf numFmtId="0" fontId="86" fillId="0" borderId="0" xfId="0" applyFont="1" applyAlignment="1" applyProtection="1"/>
    <xf numFmtId="0" fontId="12" fillId="20" borderId="65" xfId="0" applyFont="1" applyFill="1" applyBorder="1" applyAlignment="1">
      <alignment horizontal="left" wrapText="1"/>
    </xf>
    <xf numFmtId="0" fontId="28" fillId="23" borderId="0" xfId="0" applyFont="1" applyFill="1" applyBorder="1" applyAlignment="1">
      <alignment horizontal="left" wrapText="1"/>
    </xf>
    <xf numFmtId="0" fontId="28" fillId="23" borderId="0" xfId="0" applyFont="1" applyFill="1" applyBorder="1" applyAlignment="1">
      <alignment horizontal="left" vertical="top" wrapText="1"/>
    </xf>
    <xf numFmtId="0" fontId="1" fillId="0" borderId="0" xfId="0" applyFont="1" applyBorder="1" applyAlignment="1">
      <alignment horizontal="left" vertical="center" wrapText="1"/>
    </xf>
    <xf numFmtId="0" fontId="54" fillId="13" borderId="34" xfId="0" applyFont="1" applyFill="1" applyBorder="1" applyAlignment="1">
      <alignment vertical="center" wrapText="1"/>
    </xf>
    <xf numFmtId="0" fontId="54" fillId="13" borderId="35" xfId="0" applyFont="1" applyFill="1" applyBorder="1" applyAlignment="1">
      <alignment vertical="center" wrapText="1"/>
    </xf>
    <xf numFmtId="0" fontId="54" fillId="13" borderId="36" xfId="0" applyFont="1" applyFill="1" applyBorder="1" applyAlignment="1">
      <alignment vertical="center" wrapText="1"/>
    </xf>
    <xf numFmtId="0" fontId="54" fillId="13" borderId="37" xfId="0" applyFont="1" applyFill="1" applyBorder="1" applyAlignment="1">
      <alignment vertical="center" wrapText="1"/>
    </xf>
    <xf numFmtId="0" fontId="54" fillId="13" borderId="39" xfId="0" applyFont="1" applyFill="1" applyBorder="1" applyAlignment="1">
      <alignment horizontal="center" vertical="center" wrapText="1"/>
    </xf>
    <xf numFmtId="0" fontId="54" fillId="13" borderId="25" xfId="0" applyFont="1" applyFill="1" applyBorder="1" applyAlignment="1">
      <alignment horizontal="center" vertical="center" wrapText="1"/>
    </xf>
    <xf numFmtId="0" fontId="54" fillId="13" borderId="26" xfId="0" applyFont="1" applyFill="1" applyBorder="1" applyAlignment="1">
      <alignment vertical="center" wrapText="1"/>
    </xf>
    <xf numFmtId="0" fontId="54" fillId="13" borderId="38" xfId="0" applyFont="1" applyFill="1" applyBorder="1" applyAlignment="1">
      <alignment vertical="center" wrapText="1"/>
    </xf>
    <xf numFmtId="0" fontId="54" fillId="13" borderId="4" xfId="0" applyFont="1" applyFill="1" applyBorder="1" applyAlignment="1">
      <alignment horizontal="center" vertical="center" wrapText="1"/>
    </xf>
    <xf numFmtId="0" fontId="8" fillId="0" borderId="63"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6" fillId="0" borderId="22" xfId="0" applyFont="1" applyBorder="1" applyAlignment="1">
      <alignment horizontal="left" vertical="center" wrapText="1" indent="1"/>
    </xf>
    <xf numFmtId="0" fontId="6" fillId="0" borderId="0" xfId="0" applyFont="1" applyBorder="1" applyAlignment="1">
      <alignment horizontal="left" vertical="center" wrapText="1" indent="1"/>
    </xf>
    <xf numFmtId="0" fontId="22" fillId="0" borderId="28" xfId="0" applyFont="1" applyBorder="1" applyAlignment="1" applyProtection="1">
      <alignment horizontal="left" vertical="center" wrapText="1"/>
      <protection locked="0"/>
    </xf>
    <xf numFmtId="0" fontId="22" fillId="0" borderId="30" xfId="0" applyFont="1" applyBorder="1" applyAlignment="1" applyProtection="1">
      <alignment horizontal="left" vertical="center" wrapText="1"/>
      <protection locked="0"/>
    </xf>
    <xf numFmtId="0" fontId="22" fillId="0" borderId="29" xfId="0" applyFont="1" applyBorder="1" applyAlignment="1" applyProtection="1">
      <alignment horizontal="left" vertical="center" wrapText="1"/>
      <protection locked="0"/>
    </xf>
    <xf numFmtId="0" fontId="6" fillId="0" borderId="2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8" xfId="0" applyFont="1" applyBorder="1" applyAlignment="1" applyProtection="1">
      <alignment horizontal="left" wrapText="1"/>
      <protection locked="0"/>
    </xf>
    <xf numFmtId="0" fontId="6" fillId="0" borderId="30" xfId="0" applyFont="1" applyBorder="1" applyAlignment="1" applyProtection="1">
      <alignment horizontal="left" wrapText="1"/>
      <protection locked="0"/>
    </xf>
    <xf numFmtId="0" fontId="6" fillId="0" borderId="29" xfId="0" applyFont="1" applyBorder="1" applyAlignment="1" applyProtection="1">
      <alignment horizontal="left" wrapText="1"/>
      <protection locked="0"/>
    </xf>
    <xf numFmtId="0" fontId="22" fillId="0" borderId="28"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29" xfId="0" applyFont="1" applyBorder="1" applyAlignment="1" applyProtection="1">
      <alignment horizontal="center" vertical="center" wrapText="1"/>
      <protection locked="0"/>
    </xf>
    <xf numFmtId="0" fontId="22" fillId="0" borderId="53" xfId="0" applyFont="1" applyBorder="1" applyAlignment="1">
      <alignment horizontal="center" vertical="center"/>
    </xf>
    <xf numFmtId="0" fontId="22" fillId="0" borderId="53" xfId="0" applyFont="1" applyBorder="1" applyAlignment="1">
      <alignment horizontal="center"/>
    </xf>
    <xf numFmtId="0" fontId="6" fillId="2" borderId="28" xfId="0" applyFont="1" applyFill="1" applyBorder="1" applyAlignment="1" applyProtection="1">
      <protection locked="0"/>
    </xf>
    <xf numFmtId="0" fontId="6" fillId="2" borderId="30" xfId="0" applyFont="1" applyFill="1" applyBorder="1" applyAlignment="1" applyProtection="1">
      <protection locked="0"/>
    </xf>
    <xf numFmtId="0" fontId="6" fillId="2" borderId="29" xfId="0" applyFont="1" applyFill="1" applyBorder="1" applyAlignment="1" applyProtection="1">
      <protection locked="0"/>
    </xf>
    <xf numFmtId="0" fontId="6" fillId="9" borderId="42" xfId="0" applyFont="1" applyFill="1" applyBorder="1" applyAlignment="1" applyProtection="1">
      <alignment horizontal="left" vertical="center"/>
      <protection locked="0"/>
    </xf>
    <xf numFmtId="0" fontId="6" fillId="9" borderId="31" xfId="0" applyFont="1" applyFill="1" applyBorder="1" applyAlignment="1" applyProtection="1">
      <alignment horizontal="left" vertical="center"/>
      <protection locked="0"/>
    </xf>
    <xf numFmtId="0" fontId="11" fillId="9" borderId="28" xfId="0" applyFont="1" applyFill="1" applyBorder="1" applyAlignment="1" applyProtection="1">
      <alignment horizontal="left"/>
      <protection locked="0"/>
    </xf>
    <xf numFmtId="0" fontId="11" fillId="9" borderId="29" xfId="0" applyFont="1" applyFill="1" applyBorder="1" applyAlignment="1" applyProtection="1">
      <alignment horizontal="left"/>
      <protection locked="0"/>
    </xf>
    <xf numFmtId="0" fontId="11" fillId="0" borderId="22" xfId="0" applyFont="1" applyFill="1" applyBorder="1" applyAlignment="1">
      <alignment horizontal="left" wrapText="1"/>
    </xf>
    <xf numFmtId="0" fontId="11" fillId="0" borderId="0" xfId="0" applyFont="1" applyFill="1" applyAlignment="1">
      <alignment horizontal="left" wrapText="1"/>
    </xf>
    <xf numFmtId="0" fontId="6" fillId="2" borderId="48" xfId="0" applyNumberFormat="1" applyFont="1" applyFill="1" applyBorder="1" applyAlignment="1" applyProtection="1">
      <alignment horizontal="center" vertical="center"/>
      <protection locked="0"/>
    </xf>
    <xf numFmtId="0" fontId="6" fillId="2" borderId="45" xfId="0" applyNumberFormat="1" applyFont="1" applyFill="1" applyBorder="1" applyAlignment="1" applyProtection="1">
      <alignment horizontal="center" vertical="center"/>
      <protection locked="0"/>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 xfId="0" applyFont="1" applyBorder="1" applyAlignment="1">
      <alignment horizontal="center" vertical="center" wrapText="1"/>
    </xf>
    <xf numFmtId="0" fontId="11" fillId="9" borderId="43" xfId="0" applyFont="1" applyFill="1" applyBorder="1" applyAlignment="1" applyProtection="1">
      <alignment horizontal="left"/>
      <protection locked="0"/>
    </xf>
    <xf numFmtId="0" fontId="11" fillId="9" borderId="32" xfId="0" applyFont="1" applyFill="1" applyBorder="1" applyAlignment="1" applyProtection="1">
      <alignment horizontal="left"/>
      <protection locked="0"/>
    </xf>
    <xf numFmtId="164" fontId="6" fillId="2" borderId="49" xfId="0" applyNumberFormat="1" applyFont="1" applyFill="1" applyBorder="1" applyAlignment="1" applyProtection="1">
      <alignment horizontal="center" vertical="center"/>
      <protection locked="0"/>
    </xf>
    <xf numFmtId="164" fontId="6" fillId="2" borderId="46" xfId="0" applyNumberFormat="1" applyFont="1" applyFill="1" applyBorder="1" applyAlignment="1" applyProtection="1">
      <alignment horizontal="center" vertical="center"/>
      <protection locked="0"/>
    </xf>
    <xf numFmtId="0" fontId="11" fillId="0" borderId="44" xfId="0" applyFont="1" applyBorder="1" applyAlignment="1">
      <alignment horizontal="left" vertical="center" wrapText="1"/>
    </xf>
    <xf numFmtId="0" fontId="11" fillId="0" borderId="38" xfId="0" applyFont="1" applyBorder="1" applyAlignment="1">
      <alignment horizontal="left" vertical="center" wrapText="1"/>
    </xf>
    <xf numFmtId="0" fontId="22" fillId="18" borderId="0"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7" xfId="0" applyFont="1" applyFill="1" applyBorder="1" applyAlignment="1">
      <alignment horizontal="center" vertical="center" wrapText="1"/>
    </xf>
    <xf numFmtId="14" fontId="6" fillId="2" borderId="28" xfId="0" applyNumberFormat="1" applyFont="1" applyFill="1" applyBorder="1" applyAlignment="1" applyProtection="1">
      <protection locked="0"/>
    </xf>
    <xf numFmtId="14" fontId="6" fillId="2" borderId="30" xfId="0" applyNumberFormat="1" applyFont="1" applyFill="1" applyBorder="1" applyAlignment="1" applyProtection="1">
      <protection locked="0"/>
    </xf>
    <xf numFmtId="14" fontId="6" fillId="2" borderId="29" xfId="0" applyNumberFormat="1" applyFont="1" applyFill="1" applyBorder="1" applyAlignment="1" applyProtection="1">
      <protection locked="0"/>
    </xf>
    <xf numFmtId="164" fontId="6" fillId="2" borderId="50" xfId="0" applyNumberFormat="1" applyFont="1" applyFill="1" applyBorder="1" applyAlignment="1" applyProtection="1">
      <alignment horizontal="center" vertical="center"/>
      <protection locked="0"/>
    </xf>
    <xf numFmtId="164" fontId="6" fillId="2" borderId="47" xfId="0" applyNumberFormat="1" applyFont="1" applyFill="1" applyBorder="1" applyAlignment="1" applyProtection="1">
      <alignment horizontal="center" vertical="center"/>
      <protection locked="0"/>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6" fillId="0" borderId="22" xfId="0" applyFont="1" applyBorder="1" applyAlignment="1">
      <alignment horizontal="left" vertical="center" wrapText="1" indent="1"/>
    </xf>
    <xf numFmtId="0" fontId="16" fillId="0" borderId="0" xfId="0" applyFont="1" applyBorder="1" applyAlignment="1">
      <alignment horizontal="left" vertical="center" wrapText="1" indent="1"/>
    </xf>
    <xf numFmtId="0" fontId="16" fillId="0" borderId="22" xfId="0" applyFont="1" applyBorder="1" applyAlignment="1">
      <alignment horizontal="left" vertical="top" wrapText="1" indent="1"/>
    </xf>
    <xf numFmtId="0" fontId="16" fillId="0" borderId="0" xfId="0" applyFont="1" applyBorder="1" applyAlignment="1">
      <alignment horizontal="left" vertical="top" wrapText="1" indent="1"/>
    </xf>
    <xf numFmtId="0" fontId="16" fillId="0" borderId="0" xfId="0" applyFont="1" applyAlignment="1">
      <alignment horizontal="left" vertical="center" wrapText="1" indent="1"/>
    </xf>
    <xf numFmtId="0" fontId="65" fillId="0" borderId="22" xfId="0" applyFont="1" applyBorder="1" applyAlignment="1">
      <alignment horizontal="left" vertical="center" wrapText="1" indent="1"/>
    </xf>
    <xf numFmtId="0" fontId="65" fillId="0" borderId="0" xfId="0" applyFont="1" applyBorder="1" applyAlignment="1">
      <alignment horizontal="left" vertical="center" wrapText="1" indent="1"/>
    </xf>
    <xf numFmtId="0" fontId="26" fillId="0" borderId="22" xfId="0" applyFont="1" applyBorder="1" applyAlignment="1">
      <alignment horizontal="left" vertical="center" wrapText="1" indent="1"/>
    </xf>
    <xf numFmtId="0" fontId="26" fillId="0" borderId="0" xfId="0" applyFont="1" applyBorder="1" applyAlignment="1">
      <alignment horizontal="left" vertical="center" wrapText="1" indent="1"/>
    </xf>
    <xf numFmtId="0" fontId="26" fillId="0" borderId="0" xfId="0" applyFont="1" applyAlignment="1">
      <alignment horizontal="left" vertical="center" wrapText="1" indent="1"/>
    </xf>
    <xf numFmtId="0" fontId="25" fillId="0" borderId="22" xfId="0" applyFont="1" applyBorder="1" applyAlignment="1">
      <alignment horizontal="left" vertical="center" wrapText="1" indent="1"/>
    </xf>
    <xf numFmtId="0" fontId="25" fillId="0" borderId="0" xfId="0" applyFont="1" applyBorder="1" applyAlignment="1">
      <alignment horizontal="left" vertical="center" wrapText="1" indent="1"/>
    </xf>
    <xf numFmtId="0" fontId="26" fillId="0" borderId="22" xfId="0" applyFont="1" applyBorder="1" applyAlignment="1">
      <alignment horizontal="left" vertical="center" wrapText="1"/>
    </xf>
    <xf numFmtId="0" fontId="96" fillId="0" borderId="22" xfId="0" applyFont="1" applyBorder="1" applyAlignment="1">
      <alignment horizontal="left" vertical="center" wrapText="1"/>
    </xf>
    <xf numFmtId="0" fontId="96" fillId="0" borderId="0" xfId="0" applyFont="1" applyBorder="1" applyAlignment="1">
      <alignment horizontal="left" vertical="center" wrapText="1"/>
    </xf>
    <xf numFmtId="0" fontId="96" fillId="0" borderId="22" xfId="0" applyFont="1" applyFill="1" applyBorder="1" applyAlignment="1">
      <alignment horizontal="left" vertical="center" wrapText="1"/>
    </xf>
    <xf numFmtId="0" fontId="96" fillId="0" borderId="0" xfId="0" applyFont="1" applyFill="1" applyBorder="1" applyAlignment="1">
      <alignment horizontal="left" vertical="center" wrapText="1"/>
    </xf>
    <xf numFmtId="0" fontId="0" fillId="0" borderId="52" xfId="0" applyBorder="1" applyAlignment="1">
      <alignment horizontal="left"/>
    </xf>
    <xf numFmtId="14" fontId="0" fillId="0" borderId="52" xfId="0" applyNumberFormat="1" applyFont="1" applyBorder="1" applyAlignment="1">
      <alignment horizontal="left"/>
    </xf>
    <xf numFmtId="0" fontId="28" fillId="0" borderId="0" xfId="0" applyFont="1" applyBorder="1" applyAlignment="1">
      <alignment horizontal="center"/>
    </xf>
    <xf numFmtId="0" fontId="37" fillId="0" borderId="0" xfId="0" applyFont="1" applyBorder="1" applyAlignment="1">
      <alignment horizontal="center"/>
    </xf>
    <xf numFmtId="0" fontId="37" fillId="0" borderId="55" xfId="0" applyFont="1" applyBorder="1" applyAlignment="1">
      <alignment horizontal="center"/>
    </xf>
    <xf numFmtId="0" fontId="12" fillId="0" borderId="18" xfId="0" applyFont="1" applyBorder="1" applyAlignment="1">
      <alignment horizontal="left"/>
    </xf>
    <xf numFmtId="0" fontId="12" fillId="0" borderId="28" xfId="0" applyFont="1" applyBorder="1" applyAlignment="1">
      <alignment horizontal="left"/>
    </xf>
    <xf numFmtId="0" fontId="12" fillId="0" borderId="29" xfId="0" applyFont="1" applyBorder="1" applyAlignment="1">
      <alignment horizontal="left"/>
    </xf>
    <xf numFmtId="0" fontId="21" fillId="7" borderId="0" xfId="0" applyFont="1" applyFill="1" applyAlignment="1">
      <alignment horizontal="left"/>
    </xf>
    <xf numFmtId="0" fontId="21" fillId="7" borderId="18" xfId="0" applyFont="1" applyFill="1" applyBorder="1" applyAlignment="1">
      <alignment horizontal="left"/>
    </xf>
    <xf numFmtId="0" fontId="21" fillId="7" borderId="11" xfId="0" applyFont="1" applyFill="1" applyBorder="1" applyAlignment="1">
      <alignment horizontal="left"/>
    </xf>
    <xf numFmtId="0" fontId="12" fillId="0" borderId="18" xfId="0" applyFont="1" applyBorder="1" applyAlignment="1">
      <alignment horizontal="left" vertical="center"/>
    </xf>
    <xf numFmtId="0" fontId="80" fillId="0" borderId="0" xfId="0" applyFont="1" applyAlignment="1">
      <alignment horizontal="left" vertical="center" wrapText="1"/>
    </xf>
    <xf numFmtId="0" fontId="0" fillId="0" borderId="58" xfId="0" applyBorder="1" applyAlignment="1">
      <alignment horizontal="center"/>
    </xf>
    <xf numFmtId="0" fontId="0" fillId="0" borderId="57" xfId="0" applyBorder="1" applyAlignment="1">
      <alignment horizontal="center"/>
    </xf>
    <xf numFmtId="0" fontId="0" fillId="0" borderId="42" xfId="0" applyBorder="1" applyAlignment="1">
      <alignment horizontal="center"/>
    </xf>
    <xf numFmtId="0" fontId="0" fillId="0" borderId="31" xfId="0" applyBorder="1" applyAlignment="1">
      <alignment horizontal="center"/>
    </xf>
    <xf numFmtId="0" fontId="0" fillId="0" borderId="24" xfId="0" applyBorder="1" applyAlignment="1">
      <alignment horizontal="center"/>
    </xf>
    <xf numFmtId="0" fontId="0" fillId="0" borderId="48" xfId="0" applyBorder="1" applyAlignment="1">
      <alignment horizontal="center"/>
    </xf>
    <xf numFmtId="0" fontId="0" fillId="0" borderId="53" xfId="0" applyBorder="1" applyAlignment="1">
      <alignment horizontal="center"/>
    </xf>
    <xf numFmtId="0" fontId="0" fillId="0" borderId="45" xfId="0" applyBorder="1" applyAlignment="1">
      <alignment horizontal="center"/>
    </xf>
    <xf numFmtId="0" fontId="101" fillId="0" borderId="0" xfId="18" applyFont="1" applyFill="1" applyBorder="1" applyAlignment="1"/>
  </cellXfs>
  <cellStyles count="32">
    <cellStyle name="Bad" xfId="24" builtinId="27"/>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Good" xfId="23" builtinId="26"/>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cellStyle name="Neutral" xfId="25" builtinId="28"/>
    <cellStyle name="Normal" xfId="0" builtinId="0" customBuiltin="1"/>
    <cellStyle name="Percent" xfId="1" builtinId="5"/>
  </cellStyles>
  <dxfs count="2018">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i val="0"/>
      </font>
      <fill>
        <patternFill>
          <bgColor theme="7" tint="0.79998168889431442"/>
        </patternFill>
      </fill>
    </dxf>
    <dxf>
      <font>
        <b/>
        <i val="0"/>
      </font>
      <fill>
        <patternFill>
          <bgColor rgb="FFCCFFCC"/>
        </patternFill>
      </fill>
    </dxf>
    <dxf>
      <font>
        <b/>
        <i val="0"/>
        <color rgb="FF00B050"/>
      </font>
    </dxf>
    <dxf>
      <font>
        <b/>
        <i val="0"/>
        <color rgb="FF00B050"/>
      </font>
    </dxf>
    <dxf>
      <font>
        <b/>
        <i val="0"/>
        <color rgb="FFFF0000"/>
      </font>
    </dxf>
    <dxf>
      <font>
        <b/>
        <i val="0"/>
        <color rgb="FFFF9900"/>
      </font>
    </dxf>
    <dxf>
      <font>
        <color auto="1"/>
      </font>
    </dxf>
    <dxf>
      <font>
        <color auto="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6500"/>
      </font>
      <fill>
        <patternFill>
          <bgColor rgb="FFFFEB9C"/>
        </patternFill>
      </fill>
    </dxf>
    <dxf>
      <font>
        <color rgb="FF9C6500"/>
      </font>
      <fill>
        <patternFill>
          <bgColor rgb="FFFFEB9C"/>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6500"/>
      </font>
      <fill>
        <patternFill>
          <bgColor rgb="FFFFEB9C"/>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006100"/>
      </font>
      <fill>
        <patternFill>
          <bgColor rgb="FFC6EF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6500"/>
      </font>
      <fill>
        <patternFill>
          <bgColor rgb="FFFFEB9C"/>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006100"/>
      </font>
      <fill>
        <patternFill>
          <bgColor rgb="FFC6EF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FF0000"/>
      </font>
    </dxf>
    <dxf>
      <font>
        <color rgb="FFFF9900"/>
      </font>
    </dxf>
    <dxf>
      <font>
        <color rgb="FF00FF0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006100"/>
      </font>
      <fill>
        <patternFill>
          <bgColor rgb="FFC6EF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006100"/>
      </font>
      <fill>
        <patternFill>
          <bgColor rgb="FFC6EF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006100"/>
      </font>
      <fill>
        <patternFill>
          <bgColor rgb="FFC6EF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6500"/>
      </font>
      <fill>
        <patternFill>
          <bgColor rgb="FFFFEB9C"/>
        </patternFill>
      </fill>
    </dxf>
    <dxf>
      <font>
        <color rgb="FF9C0006"/>
      </font>
      <fill>
        <patternFill>
          <bgColor rgb="FFFFC7CE"/>
        </patternFill>
      </fill>
    </dxf>
    <dxf>
      <fill>
        <patternFill patternType="none">
          <bgColor auto="1"/>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6500"/>
      </font>
      <fill>
        <patternFill>
          <bgColor rgb="FFFFEB9C"/>
        </patternFill>
      </fill>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6500"/>
      </font>
      <fill>
        <patternFill>
          <bgColor rgb="FFFFEB9C"/>
        </patternFill>
      </fill>
    </dxf>
    <dxf>
      <font>
        <color rgb="FF9C6500"/>
      </font>
      <fill>
        <patternFill>
          <bgColor rgb="FFFFEB9C"/>
        </patternFill>
      </fill>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7" tint="-0.499984740745262"/>
      </font>
      <fill>
        <patternFill>
          <bgColor theme="7" tint="0.59996337778862885"/>
        </patternFill>
      </fill>
    </dxf>
    <dxf>
      <font>
        <color rgb="FF9C6500"/>
      </font>
      <fill>
        <patternFill>
          <bgColor rgb="FFFFEB9C"/>
        </patternFill>
      </fill>
    </dxf>
    <dxf>
      <font>
        <color rgb="FF9C6500"/>
      </font>
      <fill>
        <patternFill>
          <bgColor rgb="FFFFEB9C"/>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6500"/>
      </font>
      <fill>
        <patternFill>
          <bgColor rgb="FFFFEB9C"/>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s>
  <tableStyles count="0" defaultTableStyle="TableStyleMedium9" defaultPivotStyle="PivotStyleMedium7"/>
  <colors>
    <mruColors>
      <color rgb="FFFF9900"/>
      <color rgb="FF6CE74B"/>
      <color rgb="FF5CEF43"/>
      <color rgb="FF00FF00"/>
      <color rgb="FFFFCCCC"/>
      <color rgb="FFCCFFCC"/>
      <color rgb="FFFFC7CE"/>
      <color rgb="FF000285"/>
      <color rgb="FF00047A"/>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320946091309E-2"/>
          <c:y val="0.14253594091869501"/>
          <c:w val="0.93351079232065404"/>
          <c:h val="0.84732937170636702"/>
        </c:manualLayout>
      </c:layout>
      <c:barChart>
        <c:barDir val="bar"/>
        <c:grouping val="clustered"/>
        <c:varyColors val="0"/>
        <c:ser>
          <c:idx val="0"/>
          <c:order val="0"/>
          <c:spPr>
            <a:solidFill>
              <a:srgbClr val="000090"/>
            </a:solidFill>
            <a:ln w="12700">
              <a:solidFill>
                <a:srgbClr val="000000"/>
              </a:solidFill>
              <a:prstDash val="solid"/>
            </a:ln>
          </c:spPr>
          <c:invertIfNegative val="0"/>
          <c:val>
            <c:numRef>
              <c:f>Summary!$C$94:$C$97</c:f>
              <c:numCache>
                <c:formatCode>0%</c:formatCode>
                <c:ptCount val="4"/>
                <c:pt idx="0">
                  <c:v>0</c:v>
                </c:pt>
                <c:pt idx="1">
                  <c:v>0</c:v>
                </c:pt>
                <c:pt idx="2">
                  <c:v>0</c:v>
                </c:pt>
                <c:pt idx="3">
                  <c:v>0</c:v>
                </c:pt>
              </c:numCache>
            </c:numRef>
          </c:val>
          <c:extLst>
            <c:ext xmlns:c16="http://schemas.microsoft.com/office/drawing/2014/chart" uri="{C3380CC4-5D6E-409C-BE32-E72D297353CC}">
              <c16:uniqueId val="{0000000C-29C8-BB4A-A396-77B21982CBAF}"/>
            </c:ext>
          </c:extLst>
        </c:ser>
        <c:dLbls>
          <c:showLegendKey val="0"/>
          <c:showVal val="0"/>
          <c:showCatName val="0"/>
          <c:showSerName val="0"/>
          <c:showPercent val="0"/>
          <c:showBubbleSize val="0"/>
        </c:dLbls>
        <c:gapWidth val="40"/>
        <c:axId val="6806704"/>
        <c:axId val="7180784"/>
      </c:barChart>
      <c:catAx>
        <c:axId val="6806704"/>
        <c:scaling>
          <c:orientation val="maxMin"/>
        </c:scaling>
        <c:delete val="1"/>
        <c:axPos val="l"/>
        <c:majorTickMark val="out"/>
        <c:minorTickMark val="none"/>
        <c:tickLblPos val="nextTo"/>
        <c:crossAx val="7180784"/>
        <c:crosses val="autoZero"/>
        <c:auto val="1"/>
        <c:lblAlgn val="ctr"/>
        <c:lblOffset val="100"/>
        <c:noMultiLvlLbl val="0"/>
      </c:catAx>
      <c:valAx>
        <c:axId val="7180784"/>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0670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54202572902E-2"/>
          <c:y val="9.1888377259192897E-2"/>
          <c:w val="0.93339276219802303"/>
          <c:h val="0.90668004734702301"/>
        </c:manualLayout>
      </c:layout>
      <c:barChart>
        <c:barDir val="bar"/>
        <c:grouping val="clustered"/>
        <c:varyColors val="0"/>
        <c:ser>
          <c:idx val="0"/>
          <c:order val="0"/>
          <c:spPr>
            <a:solidFill>
              <a:srgbClr val="000285"/>
            </a:solidFill>
          </c:spPr>
          <c:invertIfNegative val="0"/>
          <c:val>
            <c:numRef>
              <c:f>Summary!$C$108:$C$115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6822272"/>
        <c:axId val="6862448"/>
      </c:barChart>
      <c:catAx>
        <c:axId val="6822272"/>
        <c:scaling>
          <c:orientation val="maxMin"/>
        </c:scaling>
        <c:delete val="1"/>
        <c:axPos val="l"/>
        <c:majorTickMark val="out"/>
        <c:minorTickMark val="none"/>
        <c:tickLblPos val="nextTo"/>
        <c:crossAx val="6862448"/>
        <c:crosses val="autoZero"/>
        <c:auto val="1"/>
        <c:lblAlgn val="ctr"/>
        <c:lblOffset val="100"/>
        <c:noMultiLvlLbl val="0"/>
      </c:catAx>
      <c:valAx>
        <c:axId val="686244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2227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09205821803101E-2"/>
          <c:y val="0.16234873778382899"/>
          <c:w val="0.93333358208050299"/>
          <c:h val="0.83765042898768605"/>
        </c:manualLayout>
      </c:layout>
      <c:barChart>
        <c:barDir val="bar"/>
        <c:grouping val="clustered"/>
        <c:varyColors val="0"/>
        <c:ser>
          <c:idx val="0"/>
          <c:order val="0"/>
          <c:spPr>
            <a:solidFill>
              <a:srgbClr val="000285"/>
            </a:solidFill>
          </c:spPr>
          <c:invertIfNegative val="0"/>
          <c:val>
            <c:numRef>
              <c:f>Summary!$C$118:$C$122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6881120"/>
        <c:axId val="6883440"/>
      </c:barChart>
      <c:catAx>
        <c:axId val="6881120"/>
        <c:scaling>
          <c:orientation val="maxMin"/>
        </c:scaling>
        <c:delete val="1"/>
        <c:axPos val="l"/>
        <c:majorTickMark val="out"/>
        <c:minorTickMark val="none"/>
        <c:tickLblPos val="nextTo"/>
        <c:crossAx val="6883440"/>
        <c:crosses val="autoZero"/>
        <c:auto val="1"/>
        <c:lblAlgn val="ctr"/>
        <c:lblOffset val="100"/>
        <c:noMultiLvlLbl val="0"/>
      </c:catAx>
      <c:valAx>
        <c:axId val="688344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81120"/>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54202572902E-2"/>
          <c:y val="0.31201402559055103"/>
          <c:w val="0.93196824019575197"/>
          <c:h val="0.67740389873140905"/>
        </c:manualLayout>
      </c:layout>
      <c:barChart>
        <c:barDir val="bar"/>
        <c:grouping val="clustered"/>
        <c:varyColors val="0"/>
        <c:ser>
          <c:idx val="0"/>
          <c:order val="0"/>
          <c:spPr>
            <a:solidFill>
              <a:srgbClr val="000285"/>
            </a:solidFill>
          </c:spPr>
          <c:invertIfNegative val="0"/>
          <c:val>
            <c:numRef>
              <c:f>Summary!$C$125:$C$129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6456928"/>
        <c:axId val="6459248"/>
      </c:barChart>
      <c:catAx>
        <c:axId val="6456928"/>
        <c:scaling>
          <c:orientation val="maxMin"/>
        </c:scaling>
        <c:delete val="1"/>
        <c:axPos val="l"/>
        <c:majorTickMark val="out"/>
        <c:minorTickMark val="none"/>
        <c:tickLblPos val="nextTo"/>
        <c:crossAx val="6459248"/>
        <c:crosses val="autoZero"/>
        <c:auto val="1"/>
        <c:lblAlgn val="ctr"/>
        <c:lblOffset val="100"/>
        <c:noMultiLvlLbl val="0"/>
      </c:catAx>
      <c:valAx>
        <c:axId val="645924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456928"/>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320946091309E-2"/>
          <c:y val="0.11531034482758599"/>
          <c:w val="0.93351079232065404"/>
          <c:h val="0.88468965517241405"/>
        </c:manualLayout>
      </c:layout>
      <c:barChart>
        <c:barDir val="bar"/>
        <c:grouping val="clustered"/>
        <c:varyColors val="0"/>
        <c:ser>
          <c:idx val="0"/>
          <c:order val="0"/>
          <c:spPr>
            <a:solidFill>
              <a:srgbClr val="000090"/>
            </a:solidFill>
            <a:ln w="12700">
              <a:solidFill>
                <a:srgbClr val="000000"/>
              </a:solidFill>
              <a:prstDash val="solid"/>
            </a:ln>
          </c:spPr>
          <c:invertIfNegative val="0"/>
          <c:val>
            <c:numRef>
              <c:f>Summary!$C$77:$C$82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5C1F-FA43-94B5-9A52CB9D9088}"/>
            </c:ext>
          </c:extLst>
        </c:ser>
        <c:dLbls>
          <c:showLegendKey val="0"/>
          <c:showVal val="0"/>
          <c:showCatName val="0"/>
          <c:showSerName val="0"/>
          <c:showPercent val="0"/>
          <c:showBubbleSize val="0"/>
        </c:dLbls>
        <c:gapWidth val="30"/>
        <c:axId val="-38622640"/>
        <c:axId val="17470736"/>
      </c:barChart>
      <c:catAx>
        <c:axId val="-38622640"/>
        <c:scaling>
          <c:orientation val="maxMin"/>
        </c:scaling>
        <c:delete val="1"/>
        <c:axPos val="l"/>
        <c:majorTickMark val="out"/>
        <c:minorTickMark val="none"/>
        <c:tickLblPos val="nextTo"/>
        <c:crossAx val="17470736"/>
        <c:crosses val="autoZero"/>
        <c:auto val="1"/>
        <c:lblAlgn val="ctr"/>
        <c:lblOffset val="100"/>
        <c:noMultiLvlLbl val="0"/>
      </c:catAx>
      <c:valAx>
        <c:axId val="17470736"/>
        <c:scaling>
          <c:orientation val="minMax"/>
          <c:max val="1"/>
          <c:min val="0"/>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38622640"/>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221055701371E-2"/>
          <c:y val="0.121382403063619"/>
          <c:w val="0.93330393700787395"/>
          <c:h val="0.87438999774403103"/>
        </c:manualLayout>
      </c:layout>
      <c:barChart>
        <c:barDir val="bar"/>
        <c:grouping val="clustered"/>
        <c:varyColors val="0"/>
        <c:ser>
          <c:idx val="0"/>
          <c:order val="0"/>
          <c:spPr>
            <a:solidFill>
              <a:srgbClr val="000285"/>
            </a:solidFill>
          </c:spPr>
          <c:invertIfNegative val="0"/>
          <c:val>
            <c:numRef>
              <c:f>Summary!$C$85:$C$91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5C1F-FA43-94B5-9A52CB9D9088}"/>
            </c:ext>
          </c:extLst>
        </c:ser>
        <c:dLbls>
          <c:showLegendKey val="0"/>
          <c:showVal val="0"/>
          <c:showCatName val="0"/>
          <c:showSerName val="0"/>
          <c:showPercent val="0"/>
          <c:showBubbleSize val="0"/>
        </c:dLbls>
        <c:gapWidth val="30"/>
        <c:axId val="6801952"/>
        <c:axId val="6505040"/>
      </c:barChart>
      <c:catAx>
        <c:axId val="6801952"/>
        <c:scaling>
          <c:orientation val="maxMin"/>
        </c:scaling>
        <c:delete val="1"/>
        <c:axPos val="l"/>
        <c:majorTickMark val="out"/>
        <c:minorTickMark val="none"/>
        <c:tickLblPos val="nextTo"/>
        <c:crossAx val="6505040"/>
        <c:crosses val="autoZero"/>
        <c:auto val="1"/>
        <c:lblAlgn val="ctr"/>
        <c:lblOffset val="100"/>
        <c:noMultiLvlLbl val="0"/>
      </c:catAx>
      <c:valAx>
        <c:axId val="650504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0195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057701230617929"/>
          <c:y val="0.38931570233781754"/>
          <c:w val="0.43843083751510098"/>
          <c:h val="0.5710962626111949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E2-4FD8-98D4-8D1AE592054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0E2-4FD8-98D4-8D1AE59205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0E2-4FD8-98D4-8D1AE592054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0E2-4FD8-98D4-8D1AE592054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0E2-4FD8-98D4-8D1AE592054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0E2-4FD8-98D4-8D1AE592054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0E2-4FD8-98D4-8D1AE592054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0E2-4FD8-98D4-8D1AE592054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0E2-4FD8-98D4-8D1AE592054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0E2-4FD8-98D4-8D1AE592054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0E2-4FD8-98D4-8D1AE592054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00E2-4FD8-98D4-8D1AE592054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0E2-4FD8-98D4-8D1AE592054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00E2-4FD8-98D4-8D1AE592054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00E2-4FD8-98D4-8D1AE592054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0E2-4FD8-98D4-8D1AE5920542}"/>
              </c:ext>
            </c:extLst>
          </c:dPt>
          <c:cat>
            <c:strRef>
              <c:f>Summary!$B$11:$B$26</c:f>
              <c:strCache>
                <c:ptCount val="16"/>
                <c:pt idx="0">
                  <c:v>Blood Cultures</c:v>
                </c:pt>
                <c:pt idx="1">
                  <c:v>Urine Cultures</c:v>
                </c:pt>
                <c:pt idx="2">
                  <c:v>Stool Cultures</c:v>
                </c:pt>
                <c:pt idx="3">
                  <c:v>Respiratory Cultures (not TB)</c:v>
                </c:pt>
                <c:pt idx="4">
                  <c:v>Wound Cultures</c:v>
                </c:pt>
                <c:pt idx="5">
                  <c:v>Cerebrospinal Fluid Cultures</c:v>
                </c:pt>
                <c:pt idx="6">
                  <c:v>Sterile Body Fluid Cultures (pleural, pericardial, peritoneal, synovial)</c:v>
                </c:pt>
                <c:pt idx="7">
                  <c:v>Genital Cultures</c:v>
                </c:pt>
                <c:pt idx="8">
                  <c:v>Anaerobic Cultures</c:v>
                </c:pt>
                <c:pt idx="9">
                  <c:v>Fungal Cultures (Yeast)</c:v>
                </c:pt>
                <c:pt idx="10">
                  <c:v>Fungal Cultures (Mold)</c:v>
                </c:pt>
                <c:pt idx="11">
                  <c:v>MRSA screen (nares, axilla, groin)</c:v>
                </c:pt>
                <c:pt idx="12">
                  <c:v>VRE screen (rectal swab)</c:v>
                </c:pt>
                <c:pt idx="13">
                  <c:v>CRE screen (rectal swab)</c:v>
                </c:pt>
                <c:pt idx="14">
                  <c:v>ID and/or AST of isolates referred from other laboratories</c:v>
                </c:pt>
                <c:pt idx="15">
                  <c:v>Other cultures of local imoprtance </c:v>
                </c:pt>
              </c:strCache>
            </c:strRef>
          </c:cat>
          <c:val>
            <c:numRef>
              <c:f>Summary!$C$11:$C$26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A5A1-47AF-B378-676CC532049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5.6147578893667944E-3"/>
          <c:w val="0.99296394019349166"/>
          <c:h val="0.99200876793090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6250070983871079"/>
          <c:y val="0.12286643968816764"/>
          <c:w val="0.29971481796965355"/>
          <c:h val="0.76236238958754921"/>
        </c:manualLayout>
      </c:layout>
      <c:pieChart>
        <c:varyColors val="1"/>
        <c:ser>
          <c:idx val="0"/>
          <c:order val="0"/>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522-462D-BC13-A9C97E2BA1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522-462D-BC13-A9C97E2BA1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22-462D-BC13-A9C97E2BA11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22-462D-BC13-A9C97E2BA11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522-462D-BC13-A9C97E2BA11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522-462D-BC13-A9C97E2BA11E}"/>
              </c:ext>
            </c:extLst>
          </c:dPt>
          <c:cat>
            <c:strRef>
              <c:f>Summary!$B$29:$B$34</c:f>
              <c:strCache>
                <c:ptCount val="6"/>
                <c:pt idx="0">
                  <c:v>Automated AST instrument</c:v>
                </c:pt>
                <c:pt idx="1">
                  <c:v>Disk diffusion</c:v>
                </c:pt>
                <c:pt idx="2">
                  <c:v>Gradient Strip (e.g., Etest/Liofilchem)</c:v>
                </c:pt>
                <c:pt idx="3">
                  <c:v>Broth microdilution (96-well tray)</c:v>
                </c:pt>
                <c:pt idx="4">
                  <c:v>Broth macrodilultion (tube method)</c:v>
                </c:pt>
                <c:pt idx="5">
                  <c:v>Agar dilution</c:v>
                </c:pt>
              </c:strCache>
            </c:strRef>
          </c:cat>
          <c:val>
            <c:numRef>
              <c:f>Summary!$C$29:$C$34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D6C-40FA-8E5A-19B76CE6F5D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1.2586455696916061E-2"/>
          <c:w val="0.60543577171587071"/>
          <c:h val="0.950727298861913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2659715477402E-2"/>
          <c:y val="6.0333261329530097E-2"/>
          <c:w val="0.933463531393117"/>
          <c:h val="0.93966673867047001"/>
        </c:manualLayout>
      </c:layout>
      <c:barChart>
        <c:barDir val="bar"/>
        <c:grouping val="clustered"/>
        <c:varyColors val="0"/>
        <c:ser>
          <c:idx val="0"/>
          <c:order val="0"/>
          <c:spPr>
            <a:solidFill>
              <a:srgbClr val="000285"/>
            </a:solidFill>
          </c:spPr>
          <c:invertIfNegative val="0"/>
          <c:val>
            <c:numRef>
              <c:f>Summary!$C$48:$C$61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5DC-46FF-B7C2-F190A751AABC}"/>
            </c:ext>
          </c:extLst>
        </c:ser>
        <c:dLbls>
          <c:showLegendKey val="0"/>
          <c:showVal val="0"/>
          <c:showCatName val="0"/>
          <c:showSerName val="0"/>
          <c:showPercent val="0"/>
          <c:showBubbleSize val="0"/>
        </c:dLbls>
        <c:gapWidth val="30"/>
        <c:axId val="-36113536"/>
        <c:axId val="-36111216"/>
      </c:barChart>
      <c:catAx>
        <c:axId val="-36113536"/>
        <c:scaling>
          <c:orientation val="maxMin"/>
        </c:scaling>
        <c:delete val="1"/>
        <c:axPos val="l"/>
        <c:majorTickMark val="out"/>
        <c:minorTickMark val="none"/>
        <c:tickLblPos val="nextTo"/>
        <c:crossAx val="-36111216"/>
        <c:crosses val="autoZero"/>
        <c:auto val="1"/>
        <c:lblAlgn val="ctr"/>
        <c:lblOffset val="100"/>
        <c:noMultiLvlLbl val="0"/>
      </c:catAx>
      <c:valAx>
        <c:axId val="-36111216"/>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36113536"/>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25" r="0.25"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22098799160401E-2"/>
          <c:y val="8.17102369329821E-2"/>
          <c:w val="0.93330395256833998"/>
          <c:h val="0.91361326234773299"/>
        </c:manualLayout>
      </c:layout>
      <c:barChart>
        <c:barDir val="bar"/>
        <c:grouping val="clustered"/>
        <c:varyColors val="0"/>
        <c:ser>
          <c:idx val="0"/>
          <c:order val="0"/>
          <c:spPr>
            <a:solidFill>
              <a:srgbClr val="000090"/>
            </a:solidFill>
            <a:ln w="12700">
              <a:solidFill>
                <a:srgbClr val="000000"/>
              </a:solidFill>
              <a:prstDash val="solid"/>
            </a:ln>
          </c:spPr>
          <c:invertIfNegative val="0"/>
          <c:val>
            <c:numRef>
              <c:f>Summary!$C$64:$C$74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5C1F-FA43-94B5-9A52CB9D9088}"/>
            </c:ext>
          </c:extLst>
        </c:ser>
        <c:dLbls>
          <c:showLegendKey val="0"/>
          <c:showVal val="0"/>
          <c:showCatName val="0"/>
          <c:showSerName val="0"/>
          <c:showPercent val="0"/>
          <c:showBubbleSize val="0"/>
        </c:dLbls>
        <c:gapWidth val="30"/>
        <c:axId val="17158368"/>
        <c:axId val="17160688"/>
      </c:barChart>
      <c:catAx>
        <c:axId val="17158368"/>
        <c:scaling>
          <c:orientation val="maxMin"/>
        </c:scaling>
        <c:delete val="1"/>
        <c:axPos val="l"/>
        <c:majorTickMark val="out"/>
        <c:minorTickMark val="none"/>
        <c:tickLblPos val="nextTo"/>
        <c:crossAx val="17160688"/>
        <c:crosses val="autoZero"/>
        <c:auto val="1"/>
        <c:lblAlgn val="ctr"/>
        <c:lblOffset val="100"/>
        <c:noMultiLvlLbl val="0"/>
      </c:catAx>
      <c:valAx>
        <c:axId val="1716068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7158368"/>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19281458285401E-2"/>
          <c:y val="0.180168375179518"/>
          <c:w val="0.93354023838251399"/>
          <c:h val="0.81215965928787204"/>
        </c:manualLayout>
      </c:layout>
      <c:barChart>
        <c:barDir val="bar"/>
        <c:grouping val="clustered"/>
        <c:varyColors val="0"/>
        <c:ser>
          <c:idx val="0"/>
          <c:order val="0"/>
          <c:spPr>
            <a:solidFill>
              <a:srgbClr val="000285"/>
            </a:solidFill>
          </c:spPr>
          <c:invertIfNegative val="0"/>
          <c:val>
            <c:numRef>
              <c:f>Summary!$C$132:$C$135</c:f>
              <c:numCache>
                <c:formatCode>0%</c:formatCode>
                <c:ptCount val="4"/>
                <c:pt idx="0">
                  <c:v>0</c:v>
                </c:pt>
                <c:pt idx="1">
                  <c:v>0</c:v>
                </c:pt>
                <c:pt idx="2">
                  <c:v>0</c:v>
                </c:pt>
                <c:pt idx="3">
                  <c:v>0</c:v>
                </c:pt>
              </c:numCache>
            </c:numRef>
          </c:val>
          <c:extLst>
            <c:ext xmlns:c16="http://schemas.microsoft.com/office/drawing/2014/chart" uri="{C3380CC4-5D6E-409C-BE32-E72D297353CC}">
              <c16:uniqueId val="{00000000-ABF3-CB4C-B420-522E4324C038}"/>
            </c:ext>
          </c:extLst>
        </c:ser>
        <c:dLbls>
          <c:showLegendKey val="0"/>
          <c:showVal val="0"/>
          <c:showCatName val="0"/>
          <c:showSerName val="0"/>
          <c:showPercent val="0"/>
          <c:showBubbleSize val="0"/>
        </c:dLbls>
        <c:gapWidth val="30"/>
        <c:axId val="18164864"/>
        <c:axId val="5039968"/>
      </c:barChart>
      <c:catAx>
        <c:axId val="18164864"/>
        <c:scaling>
          <c:orientation val="maxMin"/>
        </c:scaling>
        <c:delete val="1"/>
        <c:axPos val="l"/>
        <c:majorTickMark val="out"/>
        <c:minorTickMark val="none"/>
        <c:tickLblPos val="nextTo"/>
        <c:crossAx val="5039968"/>
        <c:crosses val="autoZero"/>
        <c:auto val="1"/>
        <c:lblAlgn val="ctr"/>
        <c:lblOffset val="100"/>
        <c:noMultiLvlLbl val="0"/>
      </c:catAx>
      <c:valAx>
        <c:axId val="503996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16486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67708489599E-2"/>
          <c:y val="0.126764173670502"/>
          <c:w val="0.93339273115990695"/>
          <c:h val="0.87068627813029298"/>
        </c:manualLayout>
      </c:layout>
      <c:barChart>
        <c:barDir val="bar"/>
        <c:grouping val="clustered"/>
        <c:varyColors val="0"/>
        <c:ser>
          <c:idx val="0"/>
          <c:order val="0"/>
          <c:spPr>
            <a:solidFill>
              <a:srgbClr val="000285"/>
            </a:solidFill>
          </c:spPr>
          <c:invertIfNegative val="0"/>
          <c:val>
            <c:numRef>
              <c:f>Summary!$C$100:$C$105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35112752"/>
        <c:axId val="35114528"/>
      </c:barChart>
      <c:catAx>
        <c:axId val="35112752"/>
        <c:scaling>
          <c:orientation val="maxMin"/>
        </c:scaling>
        <c:delete val="1"/>
        <c:axPos val="l"/>
        <c:majorTickMark val="out"/>
        <c:minorTickMark val="none"/>
        <c:tickLblPos val="nextTo"/>
        <c:crossAx val="35114528"/>
        <c:crosses val="autoZero"/>
        <c:auto val="1"/>
        <c:lblAlgn val="ctr"/>
        <c:lblOffset val="100"/>
        <c:noMultiLvlLbl val="0"/>
      </c:catAx>
      <c:valAx>
        <c:axId val="3511452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3511275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96324294689499E-2"/>
          <c:y val="5.9136443765424797E-2"/>
          <c:w val="0.93336318527871698"/>
          <c:h val="0.94086355623457496"/>
        </c:manualLayout>
      </c:layout>
      <c:barChart>
        <c:barDir val="bar"/>
        <c:grouping val="clustered"/>
        <c:varyColors val="0"/>
        <c:ser>
          <c:idx val="0"/>
          <c:order val="0"/>
          <c:spPr>
            <a:solidFill>
              <a:srgbClr val="000285"/>
            </a:solidFill>
          </c:spPr>
          <c:invertIfNegative val="0"/>
          <c:val>
            <c:numRef>
              <c:f>Summary!$C$138:$C$152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7038576"/>
        <c:axId val="17040624"/>
      </c:barChart>
      <c:catAx>
        <c:axId val="17038576"/>
        <c:scaling>
          <c:orientation val="maxMin"/>
        </c:scaling>
        <c:delete val="1"/>
        <c:axPos val="l"/>
        <c:numFmt formatCode="General" sourceLinked="1"/>
        <c:majorTickMark val="out"/>
        <c:minorTickMark val="none"/>
        <c:tickLblPos val="nextTo"/>
        <c:crossAx val="17040624"/>
        <c:crosses val="autoZero"/>
        <c:auto val="1"/>
        <c:lblAlgn val="ctr"/>
        <c:lblOffset val="100"/>
        <c:noMultiLvlLbl val="0"/>
      </c:catAx>
      <c:valAx>
        <c:axId val="17040624"/>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7038576"/>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86742776306601E-2"/>
          <c:y val="0.13707724897048501"/>
          <c:w val="0.93315539343773601"/>
          <c:h val="0.86292275102951499"/>
        </c:manualLayout>
      </c:layout>
      <c:barChart>
        <c:barDir val="bar"/>
        <c:grouping val="clustered"/>
        <c:varyColors val="0"/>
        <c:ser>
          <c:idx val="0"/>
          <c:order val="0"/>
          <c:spPr>
            <a:solidFill>
              <a:srgbClr val="000285"/>
            </a:solidFill>
          </c:spPr>
          <c:invertIfNegative val="0"/>
          <c:val>
            <c:numRef>
              <c:f>Summary!$C$155:$C$160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8325904"/>
        <c:axId val="18328224"/>
      </c:barChart>
      <c:catAx>
        <c:axId val="18325904"/>
        <c:scaling>
          <c:orientation val="maxMin"/>
        </c:scaling>
        <c:delete val="1"/>
        <c:axPos val="l"/>
        <c:majorTickMark val="out"/>
        <c:minorTickMark val="none"/>
        <c:tickLblPos val="nextTo"/>
        <c:crossAx val="18328224"/>
        <c:crosses val="autoZero"/>
        <c:auto val="1"/>
        <c:lblAlgn val="ctr"/>
        <c:lblOffset val="100"/>
        <c:noMultiLvlLbl val="0"/>
      </c:catAx>
      <c:valAx>
        <c:axId val="18328224"/>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32590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96331053644901E-2"/>
          <c:y val="8.3924963924963999E-2"/>
          <c:w val="0.92605674512710801"/>
          <c:h val="0.91138062287668598"/>
        </c:manualLayout>
      </c:layout>
      <c:barChart>
        <c:barDir val="bar"/>
        <c:grouping val="clustered"/>
        <c:varyColors val="0"/>
        <c:ser>
          <c:idx val="0"/>
          <c:order val="0"/>
          <c:spPr>
            <a:solidFill>
              <a:srgbClr val="000285"/>
            </a:solidFill>
          </c:spPr>
          <c:invertIfNegative val="0"/>
          <c:val>
            <c:numRef>
              <c:f>Summary!$C$163:$C$172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7669664"/>
        <c:axId val="17671440"/>
      </c:barChart>
      <c:catAx>
        <c:axId val="17669664"/>
        <c:scaling>
          <c:orientation val="maxMin"/>
        </c:scaling>
        <c:delete val="1"/>
        <c:axPos val="l"/>
        <c:majorTickMark val="out"/>
        <c:minorTickMark val="none"/>
        <c:tickLblPos val="nextTo"/>
        <c:crossAx val="17671440"/>
        <c:crosses val="autoZero"/>
        <c:auto val="1"/>
        <c:lblAlgn val="ctr"/>
        <c:lblOffset val="100"/>
        <c:noMultiLvlLbl val="0"/>
      </c:catAx>
      <c:valAx>
        <c:axId val="1767144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766966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96331053644901E-2"/>
          <c:y val="0.228514977725045"/>
          <c:w val="0.93197740824137698"/>
          <c:h val="0.77148502227495397"/>
        </c:manualLayout>
      </c:layout>
      <c:barChart>
        <c:barDir val="bar"/>
        <c:grouping val="clustered"/>
        <c:varyColors val="0"/>
        <c:ser>
          <c:idx val="0"/>
          <c:order val="0"/>
          <c:spPr>
            <a:solidFill>
              <a:srgbClr val="000285"/>
            </a:solidFill>
          </c:spPr>
          <c:invertIfNegative val="0"/>
          <c:val>
            <c:numRef>
              <c:f>Summary!$C$175:$C$177</c:f>
              <c:numCache>
                <c:formatCode>0%</c:formatCode>
                <c:ptCount val="3"/>
                <c:pt idx="0">
                  <c:v>0</c:v>
                </c:pt>
                <c:pt idx="1">
                  <c:v>0</c:v>
                </c:pt>
                <c:pt idx="2">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8122832"/>
        <c:axId val="18124880"/>
      </c:barChart>
      <c:catAx>
        <c:axId val="18122832"/>
        <c:scaling>
          <c:orientation val="maxMin"/>
        </c:scaling>
        <c:delete val="1"/>
        <c:axPos val="l"/>
        <c:majorTickMark val="out"/>
        <c:minorTickMark val="none"/>
        <c:tickLblPos val="nextTo"/>
        <c:crossAx val="18124880"/>
        <c:crosses val="autoZero"/>
        <c:auto val="1"/>
        <c:lblAlgn val="ctr"/>
        <c:lblOffset val="100"/>
        <c:noMultiLvlLbl val="0"/>
      </c:catAx>
      <c:valAx>
        <c:axId val="1812488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12283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609555297E-2"/>
          <c:y val="0.197333333333333"/>
          <c:w val="0.93339274667896899"/>
          <c:h val="0.80266666666666597"/>
        </c:manualLayout>
      </c:layout>
      <c:barChart>
        <c:barDir val="bar"/>
        <c:grouping val="clustered"/>
        <c:varyColors val="0"/>
        <c:ser>
          <c:idx val="0"/>
          <c:order val="0"/>
          <c:spPr>
            <a:solidFill>
              <a:srgbClr val="00047A"/>
            </a:solidFill>
          </c:spPr>
          <c:invertIfNegative val="0"/>
          <c:val>
            <c:numRef>
              <c:f>Summary!$C$180:$C$183</c:f>
              <c:numCache>
                <c:formatCode>0%</c:formatCode>
                <c:ptCount val="4"/>
                <c:pt idx="0">
                  <c:v>0</c:v>
                </c:pt>
                <c:pt idx="1">
                  <c:v>0</c:v>
                </c:pt>
                <c:pt idx="2">
                  <c:v>0</c:v>
                </c:pt>
                <c:pt idx="3">
                  <c:v>0</c:v>
                </c:pt>
              </c:numCache>
            </c:numRef>
          </c:val>
          <c:extLst>
            <c:ext xmlns:c16="http://schemas.microsoft.com/office/drawing/2014/chart" uri="{C3380CC4-5D6E-409C-BE32-E72D297353CC}">
              <c16:uniqueId val="{00000000-ABF3-CB4C-B420-522E4324C038}"/>
            </c:ext>
          </c:extLst>
        </c:ser>
        <c:dLbls>
          <c:showLegendKey val="0"/>
          <c:showVal val="0"/>
          <c:showCatName val="0"/>
          <c:showSerName val="0"/>
          <c:showPercent val="0"/>
          <c:showBubbleSize val="0"/>
        </c:dLbls>
        <c:gapWidth val="30"/>
        <c:axId val="18407680"/>
        <c:axId val="18410000"/>
      </c:barChart>
      <c:catAx>
        <c:axId val="18407680"/>
        <c:scaling>
          <c:orientation val="maxMin"/>
        </c:scaling>
        <c:delete val="1"/>
        <c:axPos val="l"/>
        <c:majorTickMark val="out"/>
        <c:minorTickMark val="none"/>
        <c:tickLblPos val="nextTo"/>
        <c:crossAx val="18410000"/>
        <c:crosses val="autoZero"/>
        <c:auto val="1"/>
        <c:lblAlgn val="ctr"/>
        <c:lblOffset val="100"/>
        <c:noMultiLvlLbl val="0"/>
      </c:catAx>
      <c:valAx>
        <c:axId val="1841000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407680"/>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3</xdr:col>
      <xdr:colOff>676275</xdr:colOff>
      <xdr:row>25</xdr:row>
      <xdr:rowOff>28575</xdr:rowOff>
    </xdr:from>
    <xdr:to>
      <xdr:col>5</xdr:col>
      <xdr:colOff>237793</xdr:colOff>
      <xdr:row>29</xdr:row>
      <xdr:rowOff>136525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67000" y="6791325"/>
          <a:ext cx="1237918" cy="908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55035</xdr:rowOff>
    </xdr:from>
    <xdr:to>
      <xdr:col>5</xdr:col>
      <xdr:colOff>793750</xdr:colOff>
      <xdr:row>36</xdr:row>
      <xdr:rowOff>118533</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0" y="55035"/>
          <a:ext cx="7584017" cy="70738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solidFill>
            </a:rPr>
            <a:t>INTRODUCTION - ENGLISH</a:t>
          </a:r>
        </a:p>
        <a:p>
          <a:endParaRPr lang="en-US" sz="1100"/>
        </a:p>
        <a:p>
          <a:r>
            <a:rPr lang="en-US" sz="1100">
              <a:solidFill>
                <a:schemeClr val="tx1"/>
              </a:solidFill>
              <a:effectLst/>
              <a:latin typeface="+mn-lt"/>
              <a:ea typeface="+mn-ea"/>
              <a:cs typeface="+mn-cs"/>
            </a:rPr>
            <a:t>Control of antibiotic resistance (AR) is a global public health priority. Robust AR laboratory networks are critical to inform policy and control efforts. Such networks often obtain AR data from clinical laboratories; thus, the usefulness of the aggregate data largely depends on the ability of the laboratories to produce accurate and reliable bacterial identification (ID) and antibiotic susceptibility testing (AST) results.  </a:t>
          </a:r>
        </a:p>
        <a:p>
          <a:endParaRPr lang="en-US"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Many existing laboratory assessment tools are designed to evaluate the essential quality management system (QMS) requirements described by international laboratory standards organizations such as ISO and CLSI. These tools are inadequate to detect deficiencies in bench-level testing because they lack sufficient technical depth and granularity. The LAARC assessment tool is designed to fill that technical gap and is specifically adapted for laboratories in low- and middle- income countries which have not yet established comprehensive laboratory regulations and/or accreditation requirements. The tool contains extensive Quality Control (QC) and Quality Assurance (QA) questions, but it is primarily technical in nature and does not provide a comprehensive QMS assessment.</a:t>
          </a:r>
        </a:p>
        <a:p>
          <a:endParaRPr lang="en-US"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purpose of the LAARC is to objectively evaluate technical proficiency in the bacteriologic techniques and related quality processes that are required for accurate, reliable AR detection. Results provide a clear pathway toward improvement. The LAARC was designed for use in hospital-based laboratories that receive and process clinical specimens for the purposes of routine patient care. National reference laboratories (NRLs) and other public health labs will benefit from the technical assessment, however, the key gaps in assessing NRL capacity include</a:t>
          </a:r>
          <a:r>
            <a:rPr lang="en-US" sz="1100" baseline="0">
              <a:solidFill>
                <a:schemeClr val="tx1"/>
              </a:solidFill>
              <a:effectLst/>
              <a:latin typeface="+mn-lt"/>
              <a:ea typeface="+mn-ea"/>
              <a:cs typeface="+mn-cs"/>
            </a:rPr>
            <a:t> the lack of </a:t>
          </a:r>
          <a:r>
            <a:rPr lang="en-US" sz="1100">
              <a:solidFill>
                <a:schemeClr val="tx1"/>
              </a:solidFill>
              <a:effectLst/>
              <a:latin typeface="+mn-lt"/>
              <a:ea typeface="+mn-ea"/>
              <a:cs typeface="+mn-cs"/>
            </a:rPr>
            <a:t>questions about molecular testing, funding and budget, the non-laboratory personnel required to administer an AMR surveillance program and much more. Other tools are available to assess these areas.</a:t>
          </a:r>
          <a:endParaRPr lang="en-US">
            <a:solidFill>
              <a:schemeClr val="tx1"/>
            </a:solidFill>
            <a:effectLst/>
          </a:endParaRPr>
        </a:p>
        <a:p>
          <a:endParaRPr lang="en-US" sz="1100">
            <a:solidFill>
              <a:schemeClr val="tx1"/>
            </a:solidFill>
          </a:endParaRPr>
        </a:p>
        <a:p>
          <a:r>
            <a:rPr lang="en-US" sz="1100">
              <a:solidFill>
                <a:schemeClr val="tx1"/>
              </a:solidFill>
              <a:effectLst/>
              <a:latin typeface="+mn-lt"/>
              <a:ea typeface="+mn-ea"/>
              <a:cs typeface="+mn-cs"/>
            </a:rPr>
            <a:t>The LAARC was built around the WHO priority AR specimen types, pathogens and antibiotics included in their Global Antimicrobial Resistance Surveillance System (GLASS) initiative of 2015</a:t>
          </a:r>
          <a:r>
            <a:rPr lang="en-US" sz="1100">
              <a:solidFill>
                <a:schemeClr val="tx1"/>
              </a:solidFill>
            </a:rPr>
            <a:t>. These are:</a:t>
          </a:r>
          <a:endParaRPr lang="en-US" sz="1100" strike="sngStrike" baseline="0">
            <a:solidFill>
              <a:schemeClr val="tx1"/>
            </a:solidFill>
          </a:endParaRPr>
        </a:p>
        <a:p>
          <a:endParaRPr lang="en-US" sz="1100">
            <a:solidFill>
              <a:schemeClr val="tx1"/>
            </a:solidFill>
          </a:endParaRPr>
        </a:p>
        <a:p>
          <a:pPr lvl="1"/>
          <a:r>
            <a:rPr lang="en-US" sz="1100">
              <a:solidFill>
                <a:schemeClr val="tx1"/>
              </a:solidFill>
            </a:rPr>
            <a:t>•	</a:t>
          </a:r>
          <a:r>
            <a:rPr lang="en-US" sz="1100" i="1">
              <a:solidFill>
                <a:schemeClr val="tx1"/>
              </a:solidFill>
              <a:effectLst/>
              <a:latin typeface="+mn-lt"/>
              <a:ea typeface="+mn-ea"/>
              <a:cs typeface="+mn-cs"/>
            </a:rPr>
            <a:t>Staphylococcus aureus 	</a:t>
          </a:r>
          <a:r>
            <a:rPr lang="en-US" sz="1100" i="0">
              <a:solidFill>
                <a:schemeClr val="tx1"/>
              </a:solidFill>
              <a:effectLst/>
              <a:latin typeface="+mn-lt"/>
              <a:ea typeface="+mn-ea"/>
              <a:cs typeface="+mn-cs"/>
            </a:rPr>
            <a:t>Blood</a:t>
          </a:r>
          <a:endParaRPr lang="en-US">
            <a:solidFill>
              <a:schemeClr val="tx1"/>
            </a:solidFill>
            <a:effectLst/>
          </a:endParaRPr>
        </a:p>
        <a:p>
          <a:pPr lvl="1"/>
          <a:r>
            <a:rPr lang="en-US" sz="1100">
              <a:solidFill>
                <a:schemeClr val="tx1"/>
              </a:solidFill>
              <a:effectLst/>
              <a:latin typeface="+mn-lt"/>
              <a:ea typeface="+mn-ea"/>
              <a:cs typeface="+mn-cs"/>
            </a:rPr>
            <a:t>•	</a:t>
          </a:r>
          <a:r>
            <a:rPr lang="en-US" sz="1100" i="1">
              <a:solidFill>
                <a:schemeClr val="tx1"/>
              </a:solidFill>
              <a:effectLst/>
              <a:latin typeface="+mn-lt"/>
              <a:ea typeface="+mn-ea"/>
              <a:cs typeface="+mn-cs"/>
            </a:rPr>
            <a:t>Streptococcus pneumoniae	</a:t>
          </a:r>
          <a:r>
            <a:rPr lang="en-US" sz="1100" i="0">
              <a:solidFill>
                <a:schemeClr val="tx1"/>
              </a:solidFill>
              <a:effectLst/>
              <a:latin typeface="+mn-lt"/>
              <a:ea typeface="+mn-ea"/>
              <a:cs typeface="+mn-cs"/>
            </a:rPr>
            <a:t>Blood</a:t>
          </a:r>
          <a:endParaRPr lang="en-US">
            <a:solidFill>
              <a:schemeClr val="tx1"/>
            </a:solidFill>
            <a:effectLst/>
          </a:endParaRPr>
        </a:p>
        <a:p>
          <a:pPr lvl="1"/>
          <a:r>
            <a:rPr lang="en-US" sz="1100" i="1">
              <a:solidFill>
                <a:schemeClr val="tx1"/>
              </a:solidFill>
              <a:effectLst/>
              <a:latin typeface="+mn-lt"/>
              <a:ea typeface="+mn-ea"/>
              <a:cs typeface="+mn-cs"/>
            </a:rPr>
            <a:t>•	Escherichia coli 		</a:t>
          </a:r>
          <a:r>
            <a:rPr lang="en-US" sz="1100" i="0">
              <a:solidFill>
                <a:schemeClr val="tx1"/>
              </a:solidFill>
              <a:effectLst/>
              <a:latin typeface="+mn-lt"/>
              <a:ea typeface="+mn-ea"/>
              <a:cs typeface="+mn-cs"/>
            </a:rPr>
            <a:t>Blood</a:t>
          </a:r>
          <a:r>
            <a:rPr lang="en-US" sz="1100" i="0" baseline="0">
              <a:solidFill>
                <a:schemeClr val="tx1"/>
              </a:solidFill>
              <a:effectLst/>
              <a:latin typeface="+mn-lt"/>
              <a:ea typeface="+mn-ea"/>
              <a:cs typeface="+mn-cs"/>
            </a:rPr>
            <a:t> &amp; Urine</a:t>
          </a:r>
          <a:endParaRPr lang="en-US">
            <a:solidFill>
              <a:schemeClr val="tx1"/>
            </a:solidFill>
            <a:effectLst/>
          </a:endParaRPr>
        </a:p>
        <a:p>
          <a:pPr lvl="1"/>
          <a:r>
            <a:rPr lang="en-US" sz="1100" i="1">
              <a:solidFill>
                <a:schemeClr val="tx1"/>
              </a:solidFill>
              <a:effectLst/>
              <a:latin typeface="+mn-lt"/>
              <a:ea typeface="+mn-ea"/>
              <a:cs typeface="+mn-cs"/>
            </a:rPr>
            <a:t>•	Klebsiella pneumoniae 	</a:t>
          </a:r>
          <a:r>
            <a:rPr lang="en-US" sz="1100" i="0">
              <a:solidFill>
                <a:schemeClr val="tx1"/>
              </a:solidFill>
              <a:effectLst/>
              <a:latin typeface="+mn-lt"/>
              <a:ea typeface="+mn-ea"/>
              <a:cs typeface="+mn-cs"/>
            </a:rPr>
            <a:t>Blood</a:t>
          </a:r>
          <a:r>
            <a:rPr lang="en-US" sz="1100" i="0" baseline="0">
              <a:solidFill>
                <a:schemeClr val="tx1"/>
              </a:solidFill>
              <a:effectLst/>
              <a:latin typeface="+mn-lt"/>
              <a:ea typeface="+mn-ea"/>
              <a:cs typeface="+mn-cs"/>
            </a:rPr>
            <a:t> &amp; Urine</a:t>
          </a:r>
          <a:endParaRPr lang="en-US">
            <a:solidFill>
              <a:schemeClr val="tx1"/>
            </a:solidFill>
            <a:effectLst/>
          </a:endParaRPr>
        </a:p>
        <a:p>
          <a:pPr lvl="1"/>
          <a:r>
            <a:rPr lang="en-US" sz="1100" i="1">
              <a:solidFill>
                <a:schemeClr val="tx1"/>
              </a:solidFill>
              <a:effectLst/>
              <a:latin typeface="+mn-lt"/>
              <a:ea typeface="+mn-ea"/>
              <a:cs typeface="+mn-cs"/>
            </a:rPr>
            <a:t>•	Salmonella species	</a:t>
          </a:r>
          <a:r>
            <a:rPr lang="en-US" sz="1100" i="0">
              <a:solidFill>
                <a:schemeClr val="tx1"/>
              </a:solidFill>
              <a:effectLst/>
              <a:latin typeface="+mn-lt"/>
              <a:ea typeface="+mn-ea"/>
              <a:cs typeface="+mn-cs"/>
            </a:rPr>
            <a:t>Stool/Faeces</a:t>
          </a:r>
          <a:endParaRPr lang="en-US">
            <a:solidFill>
              <a:schemeClr val="tx1"/>
            </a:solidFill>
            <a:effectLst/>
          </a:endParaRPr>
        </a:p>
        <a:p>
          <a:pPr lvl="1"/>
          <a:r>
            <a:rPr lang="en-US" sz="1100" i="1">
              <a:solidFill>
                <a:schemeClr val="tx1"/>
              </a:solidFill>
              <a:effectLst/>
              <a:latin typeface="+mn-lt"/>
              <a:ea typeface="+mn-ea"/>
              <a:cs typeface="+mn-cs"/>
            </a:rPr>
            <a:t>•	Shigella species 		</a:t>
          </a:r>
          <a:r>
            <a:rPr lang="en-US" sz="1100" i="0">
              <a:solidFill>
                <a:schemeClr val="tx1"/>
              </a:solidFill>
              <a:effectLst/>
              <a:latin typeface="+mn-lt"/>
              <a:ea typeface="+mn-ea"/>
              <a:cs typeface="+mn-cs"/>
            </a:rPr>
            <a:t>Stool/Faeces</a:t>
          </a:r>
          <a:endParaRPr lang="en-US">
            <a:solidFill>
              <a:schemeClr val="tx1"/>
            </a:solidFill>
            <a:effectLst/>
          </a:endParaRPr>
        </a:p>
        <a:p>
          <a:pPr lvl="1"/>
          <a:r>
            <a:rPr lang="en-US" sz="1100" i="1">
              <a:solidFill>
                <a:schemeClr val="tx1"/>
              </a:solidFill>
              <a:effectLst/>
              <a:latin typeface="+mn-lt"/>
              <a:ea typeface="+mn-ea"/>
              <a:cs typeface="+mn-cs"/>
            </a:rPr>
            <a:t>•	Acinetobacter baumannii*	</a:t>
          </a:r>
          <a:r>
            <a:rPr lang="en-US" sz="1100" i="0">
              <a:solidFill>
                <a:schemeClr val="tx1"/>
              </a:solidFill>
              <a:effectLst/>
              <a:latin typeface="+mn-lt"/>
              <a:ea typeface="+mn-ea"/>
              <a:cs typeface="+mn-cs"/>
            </a:rPr>
            <a:t>Blood</a:t>
          </a:r>
          <a:endParaRPr lang="en-US">
            <a:solidFill>
              <a:schemeClr val="tx1"/>
            </a:solidFill>
            <a:effectLst/>
          </a:endParaRPr>
        </a:p>
        <a:p>
          <a:pPr lvl="1"/>
          <a:r>
            <a:rPr lang="en-US" sz="1100" i="1">
              <a:solidFill>
                <a:schemeClr val="tx1"/>
              </a:solidFill>
              <a:effectLst/>
              <a:latin typeface="+mn-lt"/>
              <a:ea typeface="+mn-ea"/>
              <a:cs typeface="+mn-cs"/>
            </a:rPr>
            <a:t>•	Neisseria gonorrhoeae**	</a:t>
          </a:r>
          <a:r>
            <a:rPr lang="en-US" sz="1100" i="0">
              <a:solidFill>
                <a:schemeClr val="tx1"/>
              </a:solidFill>
              <a:effectLst/>
              <a:latin typeface="+mn-lt"/>
              <a:ea typeface="+mn-ea"/>
              <a:cs typeface="+mn-cs"/>
            </a:rPr>
            <a:t>Urethral</a:t>
          </a:r>
          <a:r>
            <a:rPr lang="en-US" sz="1100" i="0" baseline="0">
              <a:solidFill>
                <a:schemeClr val="tx1"/>
              </a:solidFill>
              <a:effectLst/>
              <a:latin typeface="+mn-lt"/>
              <a:ea typeface="+mn-ea"/>
              <a:cs typeface="+mn-cs"/>
            </a:rPr>
            <a:t> &amp; cervical swabs</a:t>
          </a:r>
          <a:endParaRPr lang="en-US">
            <a:solidFill>
              <a:schemeClr val="tx1"/>
            </a:solidFill>
            <a:effectLst/>
          </a:endParaRPr>
        </a:p>
        <a:p>
          <a:endParaRPr lang="en-US" sz="1100">
            <a:solidFill>
              <a:schemeClr val="tx1"/>
            </a:solidFill>
          </a:endParaRPr>
        </a:p>
        <a:p>
          <a:r>
            <a:rPr lang="en-US" sz="1100">
              <a:solidFill>
                <a:schemeClr val="tx1"/>
              </a:solidFill>
              <a:effectLst/>
              <a:latin typeface="+mn-lt"/>
              <a:ea typeface="+mn-ea"/>
              <a:cs typeface="+mn-cs"/>
            </a:rPr>
            <a:t>Additional culture types, pathogens and antibiotics may be evaluated pursuant to national priorities; however, the current iteration of this tool focuses only on the above;</a:t>
          </a:r>
          <a:r>
            <a:rPr lang="en-US" sz="1100" baseline="0">
              <a:solidFill>
                <a:schemeClr val="tx1"/>
              </a:solidFill>
              <a:effectLst/>
              <a:latin typeface="+mn-lt"/>
              <a:ea typeface="+mn-ea"/>
              <a:cs typeface="+mn-cs"/>
            </a:rPr>
            <a:t> users cannot edit or modify the tool. </a:t>
          </a:r>
        </a:p>
        <a:p>
          <a:endParaRPr lang="en-US" sz="1100">
            <a:solidFill>
              <a:schemeClr val="tx1"/>
            </a:solidFill>
          </a:endParaRPr>
        </a:p>
        <a:p>
          <a:r>
            <a:rPr lang="en-US" sz="900">
              <a:solidFill>
                <a:schemeClr val="tx1"/>
              </a:solidFill>
            </a:rPr>
            <a:t>*Most labs are unable to definitively differentiate </a:t>
          </a:r>
          <a:r>
            <a:rPr lang="en-US" sz="900" i="1">
              <a:solidFill>
                <a:schemeClr val="tx1"/>
              </a:solidFill>
            </a:rPr>
            <a:t>Acinetobacter calcoaceticus </a:t>
          </a:r>
          <a:r>
            <a:rPr lang="en-US" sz="900">
              <a:solidFill>
                <a:schemeClr val="tx1"/>
              </a:solidFill>
            </a:rPr>
            <a:t>from </a:t>
          </a:r>
          <a:r>
            <a:rPr lang="en-US" sz="900" i="1">
              <a:solidFill>
                <a:schemeClr val="tx1"/>
              </a:solidFill>
            </a:rPr>
            <a:t>A. baumannii, </a:t>
          </a:r>
          <a:r>
            <a:rPr lang="en-US" sz="900">
              <a:solidFill>
                <a:schemeClr val="tx1"/>
              </a:solidFill>
            </a:rPr>
            <a:t>so in practice this refers to </a:t>
          </a:r>
          <a:r>
            <a:rPr lang="en-US" sz="900" i="1">
              <a:solidFill>
                <a:schemeClr val="tx1"/>
              </a:solidFill>
            </a:rPr>
            <a:t>Acinetobacter calcoaceticus-baumannii</a:t>
          </a:r>
          <a:r>
            <a:rPr lang="en-US" sz="900">
              <a:solidFill>
                <a:schemeClr val="tx1"/>
              </a:solidFill>
            </a:rPr>
            <a:t> complex</a:t>
          </a:r>
        </a:p>
        <a:p>
          <a:r>
            <a:rPr lang="en-US" sz="900">
              <a:solidFill>
                <a:schemeClr val="tx1"/>
              </a:solidFill>
            </a:rPr>
            <a:t>** </a:t>
          </a:r>
          <a:r>
            <a:rPr lang="en-US" sz="900" i="1">
              <a:solidFill>
                <a:schemeClr val="tx1"/>
              </a:solidFill>
            </a:rPr>
            <a:t>N.gonorrhoeae </a:t>
          </a:r>
          <a:r>
            <a:rPr lang="en-US" sz="900">
              <a:solidFill>
                <a:schemeClr val="tx1"/>
              </a:solidFill>
            </a:rPr>
            <a:t>was excluded from this tool due to the complexities involved with routine culture and recovery, identification and AST, and the existence of other surveillance networks and STD clinics dedicated exclusively to this pathogen.</a:t>
          </a:r>
          <a:endParaRPr lang="en-US" sz="1050">
            <a:solidFill>
              <a:schemeClr val="tx1"/>
            </a:solidFill>
          </a:endParaRPr>
        </a:p>
        <a:p>
          <a:r>
            <a:rPr lang="en-US" sz="1100">
              <a:solidFill>
                <a:schemeClr val="tx1"/>
              </a:solidFill>
            </a:rPr>
            <a:t> </a:t>
          </a:r>
        </a:p>
        <a:p>
          <a:endParaRPr lang="en-US" sz="1100"/>
        </a:p>
        <a:p>
          <a:endParaRPr lang="en-US" sz="1100"/>
        </a:p>
      </xdr:txBody>
    </xdr:sp>
    <xdr:clientData/>
  </xdr:twoCellAnchor>
  <xdr:twoCellAnchor>
    <xdr:from>
      <xdr:col>0</xdr:col>
      <xdr:colOff>0</xdr:colOff>
      <xdr:row>124</xdr:row>
      <xdr:rowOff>0</xdr:rowOff>
    </xdr:from>
    <xdr:to>
      <xdr:col>5</xdr:col>
      <xdr:colOff>792511</xdr:colOff>
      <xdr:row>159</xdr:row>
      <xdr:rowOff>104162</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0" y="32596667"/>
          <a:ext cx="7565844" cy="7018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solidFill>
            </a:rPr>
            <a:t>INTRODUÇÃO - PORTUGUÊS</a:t>
          </a:r>
        </a:p>
        <a:p>
          <a:endParaRPr lang="en-US" sz="1100"/>
        </a:p>
        <a:p>
          <a:r>
            <a:rPr lang="pt-BR" sz="1100">
              <a:solidFill>
                <a:schemeClr val="dk1"/>
              </a:solidFill>
              <a:effectLst/>
              <a:latin typeface="+mn-lt"/>
              <a:ea typeface="+mn-ea"/>
              <a:cs typeface="+mn-cs"/>
            </a:rPr>
            <a:t>O controle da resistência a antibióticos (RA) é uma prioridade global da saúde pública. Redes robustas de laboratório de RA são essenciais para informar sobre políticas e os esforços de controle. Tais redes geralmente obtêm dados de RA de laboratórios clínicos; portanto, a utilidade dos dados agregados depende em grande parte da capacidade dos laboratórios de produzir resultados precisos e fiáveis ​​de identificação bacteriana (ID) e dos testes de sensibilidade a antibióticos (TSA).</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Muitas ferramentas de avaliação de laboratório existentes são projetadas para avaliar os requisitos essenciais do sistema de gestão da qualidade (SGQ) descritos por organizações internacionais de normalização de laboratório, como ISO e CLSI. Essas ferramentas são inadequadas para detectar deficiências nos testes em nível de bancada porque não possuem profundidade técnica e granularidade suficientes. A ferramenta de avaliação LAARC foi projetada para preencher essa lacuna técnica e é especificamente adaptada para laboratórios de países com renda baixa e média que ainda não estabeleceram regulamentos laboratoriais abrangentes e / ou requisitos de acreditação. A ferramenta contém perguntas abrangentes sobre Controle de Qualidade (CQ) e Garantia de Qualidade (QA), entretanto é de natureza principalmente técnica e não fornece uma avaliação abrangente do SGQ.</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O objetivo da LAARC é avaliar objetivamente a proficiência técnica nas técnicas bacteriológicas e nos processos de qualidade relacionados, necessários para a detecção precisa e fiável da RA. Os resultados fornecem um caminho claro para a melhoria. A LAARC foi projetada para uso em laboratórios hospitalares que recebem e processam amostras clínicas para fins de atendimento de rotina ao paciente. Os laboratórios nacionais de referência (LNRs) e outros laboratórios de saúde pública se beneficiarão da avaliação técnica; no entanto, as principais lacunas na avaliação da capacidade dos LNRs incluem a falta de perguntas sobre testes moleculares, financiamento e orçamento, o pessoal não laboratorial necessário para administrar um programa de vigilância RAM e muito mais. Outras ferramentas estão disponíveis para avaliar essas áreas.</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A LAARC foi construída em torno dos tipos de espécimes prioritários da RA para OMS, patógenos e antibióticos incluídos em sua iniciativa do Sistema Global de Vigilância de Resistência Antimicrobiana (GLASS) de 2015. São eles:</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r>
            <a:rPr lang="pt-BR" sz="1100" i="1">
              <a:solidFill>
                <a:schemeClr val="dk1"/>
              </a:solidFill>
              <a:effectLst/>
              <a:latin typeface="+mn-lt"/>
              <a:ea typeface="+mn-ea"/>
              <a:cs typeface="+mn-cs"/>
            </a:rPr>
            <a:t>Staphylococcus aureus 		</a:t>
          </a:r>
          <a:r>
            <a:rPr lang="pt-BR" sz="1100">
              <a:solidFill>
                <a:schemeClr val="dk1"/>
              </a:solidFill>
              <a:effectLst/>
              <a:latin typeface="+mn-lt"/>
              <a:ea typeface="+mn-ea"/>
              <a:cs typeface="+mn-cs"/>
            </a:rPr>
            <a:t>Sangue</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r>
            <a:rPr lang="pt-BR" sz="1100" i="1">
              <a:solidFill>
                <a:schemeClr val="dk1"/>
              </a:solidFill>
              <a:effectLst/>
              <a:latin typeface="+mn-lt"/>
              <a:ea typeface="+mn-ea"/>
              <a:cs typeface="+mn-cs"/>
            </a:rPr>
            <a:t>Streptococcus pneumoniae		</a:t>
          </a:r>
          <a:r>
            <a:rPr lang="pt-BR" sz="1100">
              <a:solidFill>
                <a:schemeClr val="dk1"/>
              </a:solidFill>
              <a:effectLst/>
              <a:latin typeface="+mn-lt"/>
              <a:ea typeface="+mn-ea"/>
              <a:cs typeface="+mn-cs"/>
            </a:rPr>
            <a:t>Sangue</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Escherichia coli 			</a:t>
          </a:r>
          <a:r>
            <a:rPr lang="pt-BR" sz="1100">
              <a:solidFill>
                <a:schemeClr val="dk1"/>
              </a:solidFill>
              <a:effectLst/>
              <a:latin typeface="+mn-lt"/>
              <a:ea typeface="+mn-ea"/>
              <a:cs typeface="+mn-cs"/>
            </a:rPr>
            <a:t>Sangue &amp; Urina</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Klebsiella pneumoniae 		</a:t>
          </a:r>
          <a:r>
            <a:rPr lang="pt-BR" sz="1100">
              <a:solidFill>
                <a:schemeClr val="dk1"/>
              </a:solidFill>
              <a:effectLst/>
              <a:latin typeface="+mn-lt"/>
              <a:ea typeface="+mn-ea"/>
              <a:cs typeface="+mn-cs"/>
            </a:rPr>
            <a:t>Sangue &amp; Urina</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espécies de Salmonella		</a:t>
          </a:r>
          <a:r>
            <a:rPr lang="pt-BR" sz="1100">
              <a:solidFill>
                <a:schemeClr val="dk1"/>
              </a:solidFill>
              <a:effectLst/>
              <a:latin typeface="+mn-lt"/>
              <a:ea typeface="+mn-ea"/>
              <a:cs typeface="+mn-cs"/>
            </a:rPr>
            <a:t>Fezes </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espécies de Shigella 		</a:t>
          </a:r>
          <a:r>
            <a:rPr lang="pt-BR" sz="1100">
              <a:solidFill>
                <a:schemeClr val="dk1"/>
              </a:solidFill>
              <a:effectLst/>
              <a:latin typeface="+mn-lt"/>
              <a:ea typeface="+mn-ea"/>
              <a:cs typeface="+mn-cs"/>
            </a:rPr>
            <a:t>Fezes </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Acinetobacter baumannii *		</a:t>
          </a:r>
          <a:r>
            <a:rPr lang="pt-BR" sz="1100">
              <a:solidFill>
                <a:schemeClr val="dk1"/>
              </a:solidFill>
              <a:effectLst/>
              <a:latin typeface="+mn-lt"/>
              <a:ea typeface="+mn-ea"/>
              <a:cs typeface="+mn-cs"/>
            </a:rPr>
            <a:t>Sangue</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Neisseria gonorrhoeae**		</a:t>
          </a:r>
          <a:r>
            <a:rPr lang="pt-BR" sz="1100">
              <a:solidFill>
                <a:schemeClr val="dk1"/>
              </a:solidFill>
              <a:effectLst/>
              <a:latin typeface="+mn-lt"/>
              <a:ea typeface="+mn-ea"/>
              <a:cs typeface="+mn-cs"/>
            </a:rPr>
            <a:t>Swabs Uretral e cervical</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Tipos de cultura, patógenos e antibióticos adicionais podem ser avaliados de acordo com as prioridades nacionais; no entanto, a iteração atual dessa ferramenta se concentra apenas nos descritos acima; os usuários não podem editar ou modificar a ferramenta.</a:t>
          </a:r>
          <a:endParaRPr lang="en-US" sz="1100"/>
        </a:p>
        <a:p>
          <a:endParaRPr lang="en-US" sz="1100"/>
        </a:p>
        <a:p>
          <a:r>
            <a:rPr lang="en-US" sz="900"/>
            <a:t>** A maior parte dos laboratórios não são capazes de diferenciar definitivamente </a:t>
          </a:r>
          <a:r>
            <a:rPr lang="en-US" sz="900" i="1"/>
            <a:t>Acinetobacter calcoaceticus </a:t>
          </a:r>
          <a:r>
            <a:rPr lang="en-US" sz="900"/>
            <a:t>de </a:t>
          </a:r>
          <a:r>
            <a:rPr lang="en-US" sz="900" i="1"/>
            <a:t>A. baumannii</a:t>
          </a:r>
          <a:r>
            <a:rPr lang="en-US" sz="900"/>
            <a:t>, assim, na prática, refere-se ao complexo </a:t>
          </a:r>
          <a:r>
            <a:rPr lang="en-US" sz="900" i="1"/>
            <a:t>Acinetobacter calcoaceticus-baumannii </a:t>
          </a:r>
          <a:endParaRPr lang="en-US" sz="900"/>
        </a:p>
        <a:p>
          <a:r>
            <a:rPr lang="en-US" sz="900"/>
            <a:t>** </a:t>
          </a:r>
          <a:r>
            <a:rPr lang="en-US" sz="900" i="1"/>
            <a:t>N. gonorrhoeae </a:t>
          </a:r>
          <a:r>
            <a:rPr lang="en-US" sz="900"/>
            <a:t>foi excluída dessa ferramenta devido às complexidades envolvidas com a rotina de cultura e recuperação, identificação e TSA, e pela</a:t>
          </a:r>
          <a:r>
            <a:rPr lang="en-US" sz="900" baseline="0"/>
            <a:t> </a:t>
          </a:r>
          <a:r>
            <a:rPr lang="en-US" sz="900"/>
            <a:t> existência de outras redes de vigilância e clínicas de IST dedicadas exclusivamente a este patógeno.</a:t>
          </a:r>
          <a:endParaRPr lang="en-US" sz="1050"/>
        </a:p>
        <a:p>
          <a:endParaRPr lang="en-US" sz="1100"/>
        </a:p>
      </xdr:txBody>
    </xdr:sp>
    <xdr:clientData/>
  </xdr:twoCellAnchor>
  <xdr:twoCellAnchor>
    <xdr:from>
      <xdr:col>0</xdr:col>
      <xdr:colOff>0</xdr:colOff>
      <xdr:row>82</xdr:row>
      <xdr:rowOff>0</xdr:rowOff>
    </xdr:from>
    <xdr:to>
      <xdr:col>5</xdr:col>
      <xdr:colOff>770467</xdr:colOff>
      <xdr:row>121</xdr:row>
      <xdr:rowOff>23739</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0" y="22195327"/>
          <a:ext cx="7559626" cy="78929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rgbClr val="0070C0"/>
              </a:solidFill>
            </a:rPr>
            <a:t>INTRODUCCIÓN - ESPAÑOL</a:t>
          </a:r>
        </a:p>
        <a:p>
          <a:br>
            <a:rPr lang="es-ES"/>
          </a:br>
          <a:r>
            <a:rPr lang="es-ES" sz="1100">
              <a:solidFill>
                <a:schemeClr val="dk1"/>
              </a:solidFill>
              <a:effectLst/>
              <a:latin typeface="+mn-lt"/>
              <a:ea typeface="+mn-ea"/>
              <a:cs typeface="+mn-cs"/>
            </a:rPr>
            <a:t>El control de la resistencia a antibióticos (RAM) es una prioridad mundial de salud pública. Es fundamental que para informar sobre los esfuerzos de políticas y control haya unas sólidas redes de laboratorios RAM. Dichas redes a menudo obtienen datos de RAM a partir de laboratorios clínicos; por lo tanto, la utilidad de los datos agregados depende en gran medida de la capacidad de los laboratorios para producir resultados precisos y fiables de identificación bacteriana (ID) y pruebas de sensibilidad a los antibióticos (PSA).</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Muchas de las herramientas ya existentes de evaluación de laboratorio están diseñadas para evaluar los requisitos esenciales del sistema de gestión de calidad (SGC) descritos por organizaciones internacionales de estándares de laboratorio como ISO y CLSI. Estas herramientas no son adecuadas para detectar deficiencias en las pruebas a nivel de poyata ya que carecen de suficiente profundidad técnica y nivel de detalle. La herramienta de evaluación LAARC está diseñada para llenar ese vacío técnico y está específicamente adaptada para laboratorios en países de bajos y medianos ingresos que aún no han establecido regulaciones integrales de laboratorio y / o requisitos de acreditación. La herramienta contiene preguntas exhaustivas de Control de Calidad (CC) y Garantía de calidad (GC), pero es principalmente de naturaleza técnica y no proporciona una evaluación integral de SGC.</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El propósito de la herramienta LAARC es evaluar objetivamente la competencia técnica en las técnicas bacteriológicas y los procesos de calidad relacionados que se requieren para la detección precisa y fiable de RAM. Los resultados proporcionan un camino claro hacia la mejora. La herramienta LAARC fue diseñada para su uso en laboratorios hospitalarios que reciben y procesan muestras clínicas con fines de atención de rutina al paciente. Los laboratorios nacionales de referencia (LNRs) y otros laboratorios de salud pública se beneficiarán de la evaluación técnica, sin embargo, no se incluyen preguntas para evaluar las capacidades clave de los LNRs sobre métodos moleculares, financiación y presupuesto, personal que no sea de laboratorio requerido para administrar un programa de vigilancia RAM y muchas otras. Hay otras herramientas disponibles para evaluar estas áreas.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s-ES" sz="1100">
              <a:solidFill>
                <a:schemeClr val="dk1"/>
              </a:solidFill>
              <a:effectLst/>
              <a:latin typeface="+mn-lt"/>
              <a:ea typeface="+mn-ea"/>
              <a:cs typeface="+mn-cs"/>
            </a:rPr>
            <a:t>Esta herramienta LAARC se basa en los tipos de muestra RAM, los agentes patógenos y antibióticos prioritarios incluidos en la iniciativa de la OMS del 2015 del Sistema Mundial de Vigilancia de la Resistencia a los Antimicrobianos (GLASS). Estos son:</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fr-BE" sz="1100">
              <a:solidFill>
                <a:schemeClr val="dk1"/>
              </a:solidFill>
              <a:effectLst/>
              <a:latin typeface="+mn-lt"/>
              <a:ea typeface="+mn-ea"/>
              <a:cs typeface="+mn-cs"/>
            </a:rPr>
            <a:t>•	</a:t>
          </a:r>
          <a:r>
            <a:rPr lang="fr-BE" sz="1100" i="1">
              <a:solidFill>
                <a:schemeClr val="dk1"/>
              </a:solidFill>
              <a:effectLst/>
              <a:latin typeface="+mn-lt"/>
              <a:ea typeface="+mn-ea"/>
              <a:cs typeface="+mn-cs"/>
            </a:rPr>
            <a:t>Staphylococcus aureus 		</a:t>
          </a:r>
          <a:r>
            <a:rPr lang="fr-BE" sz="1100">
              <a:solidFill>
                <a:schemeClr val="dk1"/>
              </a:solidFill>
              <a:effectLst/>
              <a:latin typeface="+mn-lt"/>
              <a:ea typeface="+mn-ea"/>
              <a:cs typeface="+mn-cs"/>
            </a:rPr>
            <a:t>Sangre</a:t>
          </a:r>
          <a:endParaRPr lang="en-US" sz="1100">
            <a:solidFill>
              <a:schemeClr val="dk1"/>
            </a:solidFill>
            <a:effectLst/>
            <a:latin typeface="+mn-lt"/>
            <a:ea typeface="+mn-ea"/>
            <a:cs typeface="+mn-cs"/>
          </a:endParaRPr>
        </a:p>
        <a:p>
          <a:r>
            <a:rPr lang="fr-BE" sz="1100">
              <a:solidFill>
                <a:schemeClr val="dk1"/>
              </a:solidFill>
              <a:effectLst/>
              <a:latin typeface="+mn-lt"/>
              <a:ea typeface="+mn-ea"/>
              <a:cs typeface="+mn-cs"/>
            </a:rPr>
            <a:t>•	</a:t>
          </a:r>
          <a:r>
            <a:rPr lang="fr-BE" sz="1100" i="1">
              <a:solidFill>
                <a:schemeClr val="dk1"/>
              </a:solidFill>
              <a:effectLst/>
              <a:latin typeface="+mn-lt"/>
              <a:ea typeface="+mn-ea"/>
              <a:cs typeface="+mn-cs"/>
            </a:rPr>
            <a:t>Streptococcus pneumoniae		</a:t>
          </a:r>
          <a:r>
            <a:rPr lang="fr-BE" sz="1100">
              <a:solidFill>
                <a:schemeClr val="dk1"/>
              </a:solidFill>
              <a:effectLst/>
              <a:latin typeface="+mn-lt"/>
              <a:ea typeface="+mn-ea"/>
              <a:cs typeface="+mn-cs"/>
            </a:rPr>
            <a:t>Sangre</a:t>
          </a:r>
          <a:endParaRPr lang="en-US" sz="1100">
            <a:solidFill>
              <a:schemeClr val="dk1"/>
            </a:solidFill>
            <a:effectLst/>
            <a:latin typeface="+mn-lt"/>
            <a:ea typeface="+mn-ea"/>
            <a:cs typeface="+mn-cs"/>
          </a:endParaRPr>
        </a:p>
        <a:p>
          <a:r>
            <a:rPr lang="es-ES" sz="1100" i="1">
              <a:solidFill>
                <a:schemeClr val="dk1"/>
              </a:solidFill>
              <a:effectLst/>
              <a:latin typeface="+mn-lt"/>
              <a:ea typeface="+mn-ea"/>
              <a:cs typeface="+mn-cs"/>
            </a:rPr>
            <a:t>•	Escherichia coli 			</a:t>
          </a:r>
          <a:r>
            <a:rPr lang="es-ES" sz="1100">
              <a:solidFill>
                <a:schemeClr val="dk1"/>
              </a:solidFill>
              <a:effectLst/>
              <a:latin typeface="+mn-lt"/>
              <a:ea typeface="+mn-ea"/>
              <a:cs typeface="+mn-cs"/>
            </a:rPr>
            <a:t>Sangre y Orina</a:t>
          </a:r>
          <a:endParaRPr lang="en-US" sz="1100">
            <a:solidFill>
              <a:schemeClr val="dk1"/>
            </a:solidFill>
            <a:effectLst/>
            <a:latin typeface="+mn-lt"/>
            <a:ea typeface="+mn-ea"/>
            <a:cs typeface="+mn-cs"/>
          </a:endParaRPr>
        </a:p>
        <a:p>
          <a:r>
            <a:rPr lang="es-ES" sz="1100" i="1">
              <a:solidFill>
                <a:schemeClr val="dk1"/>
              </a:solidFill>
              <a:effectLst/>
              <a:latin typeface="+mn-lt"/>
              <a:ea typeface="+mn-ea"/>
              <a:cs typeface="+mn-cs"/>
            </a:rPr>
            <a:t>•	Klebsiella pneumoniae 		</a:t>
          </a:r>
          <a:r>
            <a:rPr lang="es-ES" sz="1100">
              <a:solidFill>
                <a:schemeClr val="dk1"/>
              </a:solidFill>
              <a:effectLst/>
              <a:latin typeface="+mn-lt"/>
              <a:ea typeface="+mn-ea"/>
              <a:cs typeface="+mn-cs"/>
            </a:rPr>
            <a:t>Sangre y Orina</a:t>
          </a:r>
          <a:endParaRPr lang="en-US" sz="1100">
            <a:solidFill>
              <a:schemeClr val="dk1"/>
            </a:solidFill>
            <a:effectLst/>
            <a:latin typeface="+mn-lt"/>
            <a:ea typeface="+mn-ea"/>
            <a:cs typeface="+mn-cs"/>
          </a:endParaRPr>
        </a:p>
        <a:p>
          <a:r>
            <a:rPr lang="es-ES" sz="1100" i="1">
              <a:solidFill>
                <a:schemeClr val="dk1"/>
              </a:solidFill>
              <a:effectLst/>
              <a:latin typeface="+mn-lt"/>
              <a:ea typeface="+mn-ea"/>
              <a:cs typeface="+mn-cs"/>
            </a:rPr>
            <a:t>•	Salmonella species		</a:t>
          </a:r>
          <a:r>
            <a:rPr lang="es-ES" sz="1100">
              <a:solidFill>
                <a:schemeClr val="dk1"/>
              </a:solidFill>
              <a:effectLst/>
              <a:latin typeface="+mn-lt"/>
              <a:ea typeface="+mn-ea"/>
              <a:cs typeface="+mn-cs"/>
            </a:rPr>
            <a:t>Heces</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Shigella species 			</a:t>
          </a:r>
          <a:r>
            <a:rPr lang="en-US" sz="1100">
              <a:solidFill>
                <a:schemeClr val="dk1"/>
              </a:solidFill>
              <a:effectLst/>
              <a:latin typeface="+mn-lt"/>
              <a:ea typeface="+mn-ea"/>
              <a:cs typeface="+mn-cs"/>
            </a:rPr>
            <a:t>Heces</a:t>
          </a:r>
        </a:p>
        <a:p>
          <a:r>
            <a:rPr lang="en-US" sz="1100" i="1">
              <a:solidFill>
                <a:schemeClr val="dk1"/>
              </a:solidFill>
              <a:effectLst/>
              <a:latin typeface="+mn-lt"/>
              <a:ea typeface="+mn-ea"/>
              <a:cs typeface="+mn-cs"/>
            </a:rPr>
            <a:t>•	Acinetobacter baumannii*		</a:t>
          </a:r>
          <a:r>
            <a:rPr lang="en-US" sz="1100">
              <a:solidFill>
                <a:schemeClr val="dk1"/>
              </a:solidFill>
              <a:effectLst/>
              <a:latin typeface="+mn-lt"/>
              <a:ea typeface="+mn-ea"/>
              <a:cs typeface="+mn-cs"/>
            </a:rPr>
            <a:t>Sangre</a:t>
          </a:r>
        </a:p>
        <a:p>
          <a:r>
            <a:rPr lang="en-US" sz="1100" i="1">
              <a:solidFill>
                <a:schemeClr val="dk1"/>
              </a:solidFill>
              <a:effectLst/>
              <a:latin typeface="+mn-lt"/>
              <a:ea typeface="+mn-ea"/>
              <a:cs typeface="+mn-cs"/>
            </a:rPr>
            <a:t>•	Neisseria gonorrhoeae**		</a:t>
          </a:r>
          <a:r>
            <a:rPr lang="en-US" sz="1100">
              <a:solidFill>
                <a:schemeClr val="dk1"/>
              </a:solidFill>
              <a:effectLst/>
              <a:latin typeface="+mn-lt"/>
              <a:ea typeface="+mn-ea"/>
              <a:cs typeface="+mn-cs"/>
            </a:rPr>
            <a:t>Frotis uretral y cervical </a:t>
          </a:r>
        </a:p>
        <a:p>
          <a:r>
            <a:rPr lang="en-US" sz="1100">
              <a:solidFill>
                <a:schemeClr val="dk1"/>
              </a:solidFill>
              <a:effectLst/>
              <a:latin typeface="+mn-lt"/>
              <a:ea typeface="+mn-ea"/>
              <a:cs typeface="+mn-cs"/>
            </a:rPr>
            <a:t> </a:t>
          </a:r>
        </a:p>
        <a:p>
          <a:r>
            <a:rPr lang="es-ES" sz="1100">
              <a:solidFill>
                <a:schemeClr val="dk1"/>
              </a:solidFill>
              <a:effectLst/>
              <a:latin typeface="+mn-lt"/>
              <a:ea typeface="+mn-ea"/>
              <a:cs typeface="+mn-cs"/>
            </a:rPr>
            <a:t>Se podrán evaluar tipos de cultivo, patógenos y antibióticos adicionales de acuerdo con las prioridades nacionales; sin embargo, la iteración actual de esta herramienta se centra solo en lo anterior; los usuarios no pueden editar o modificar la herramienta.</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s-ES"/>
          </a:br>
          <a:br>
            <a:rPr lang="es-ES"/>
          </a:br>
          <a:r>
            <a:rPr lang="es-ES" sz="900">
              <a:solidFill>
                <a:schemeClr val="dk1"/>
              </a:solidFill>
              <a:effectLst/>
              <a:latin typeface="+mn-lt"/>
              <a:ea typeface="+mn-ea"/>
              <a:cs typeface="+mn-cs"/>
            </a:rPr>
            <a:t>* La mayoría de los laboratorios no pueden diferenciar definitivamente </a:t>
          </a:r>
          <a:r>
            <a:rPr lang="es-ES" sz="900" i="1">
              <a:solidFill>
                <a:schemeClr val="dk1"/>
              </a:solidFill>
              <a:effectLst/>
              <a:latin typeface="+mn-lt"/>
              <a:ea typeface="+mn-ea"/>
              <a:cs typeface="+mn-cs"/>
            </a:rPr>
            <a:t>Acinetobacter calcoaceticus </a:t>
          </a:r>
          <a:r>
            <a:rPr lang="es-ES" sz="900">
              <a:solidFill>
                <a:schemeClr val="dk1"/>
              </a:solidFill>
              <a:effectLst/>
              <a:latin typeface="+mn-lt"/>
              <a:ea typeface="+mn-ea"/>
              <a:cs typeface="+mn-cs"/>
            </a:rPr>
            <a:t>de </a:t>
          </a:r>
          <a:r>
            <a:rPr lang="es-ES" sz="900" i="1">
              <a:solidFill>
                <a:schemeClr val="dk1"/>
              </a:solidFill>
              <a:effectLst/>
              <a:latin typeface="+mn-lt"/>
              <a:ea typeface="+mn-ea"/>
              <a:cs typeface="+mn-cs"/>
            </a:rPr>
            <a:t>A. baumannii</a:t>
          </a:r>
          <a:r>
            <a:rPr lang="es-ES" sz="900">
              <a:solidFill>
                <a:schemeClr val="dk1"/>
              </a:solidFill>
              <a:effectLst/>
              <a:latin typeface="+mn-lt"/>
              <a:ea typeface="+mn-ea"/>
              <a:cs typeface="+mn-cs"/>
            </a:rPr>
            <a:t>, por lo que en la práctica esto se refiere</a:t>
          </a:r>
          <a:r>
            <a:rPr lang="es-ES" sz="900" baseline="0">
              <a:solidFill>
                <a:schemeClr val="dk1"/>
              </a:solidFill>
              <a:effectLst/>
              <a:latin typeface="+mn-lt"/>
              <a:ea typeface="+mn-ea"/>
              <a:cs typeface="+mn-cs"/>
            </a:rPr>
            <a:t> al</a:t>
          </a:r>
          <a:r>
            <a:rPr lang="es-ES" sz="900">
              <a:solidFill>
                <a:schemeClr val="dk1"/>
              </a:solidFill>
              <a:effectLst/>
              <a:latin typeface="+mn-lt"/>
              <a:ea typeface="+mn-ea"/>
              <a:cs typeface="+mn-cs"/>
            </a:rPr>
            <a:t> complejo </a:t>
          </a:r>
          <a:r>
            <a:rPr lang="es-ES" sz="900" i="1">
              <a:solidFill>
                <a:schemeClr val="dk1"/>
              </a:solidFill>
              <a:effectLst/>
              <a:latin typeface="+mn-lt"/>
              <a:ea typeface="+mn-ea"/>
              <a:cs typeface="+mn-cs"/>
            </a:rPr>
            <a:t>Acinetobacter calcoaceticus-baumannii</a:t>
          </a:r>
          <a:br>
            <a:rPr lang="es-ES" sz="900">
              <a:solidFill>
                <a:schemeClr val="dk1"/>
              </a:solidFill>
              <a:effectLst/>
              <a:latin typeface="+mn-lt"/>
              <a:ea typeface="+mn-ea"/>
              <a:cs typeface="+mn-cs"/>
            </a:rPr>
          </a:br>
          <a:r>
            <a:rPr lang="es-ES" sz="900">
              <a:solidFill>
                <a:schemeClr val="dk1"/>
              </a:solidFill>
              <a:effectLst/>
              <a:latin typeface="+mn-lt"/>
              <a:ea typeface="+mn-ea"/>
              <a:cs typeface="+mn-cs"/>
            </a:rPr>
            <a:t>** </a:t>
          </a:r>
          <a:r>
            <a:rPr lang="es-ES" sz="900" i="1">
              <a:solidFill>
                <a:schemeClr val="dk1"/>
              </a:solidFill>
              <a:effectLst/>
              <a:latin typeface="+mn-lt"/>
              <a:ea typeface="+mn-ea"/>
              <a:cs typeface="+mn-cs"/>
            </a:rPr>
            <a:t>N. gonorrhoeae</a:t>
          </a:r>
          <a:r>
            <a:rPr lang="es-ES" sz="900">
              <a:solidFill>
                <a:schemeClr val="dk1"/>
              </a:solidFill>
              <a:effectLst/>
              <a:latin typeface="+mn-lt"/>
              <a:ea typeface="+mn-ea"/>
              <a:cs typeface="+mn-cs"/>
            </a:rPr>
            <a:t> fue excluido de esta herramienta debido a las complejidades de</a:t>
          </a:r>
          <a:r>
            <a:rPr lang="es-ES" sz="900" baseline="0">
              <a:solidFill>
                <a:schemeClr val="dk1"/>
              </a:solidFill>
              <a:effectLst/>
              <a:latin typeface="+mn-lt"/>
              <a:ea typeface="+mn-ea"/>
              <a:cs typeface="+mn-cs"/>
            </a:rPr>
            <a:t> su </a:t>
          </a:r>
          <a:r>
            <a:rPr lang="es-ES" sz="900">
              <a:solidFill>
                <a:schemeClr val="dk1"/>
              </a:solidFill>
              <a:effectLst/>
              <a:latin typeface="+mn-lt"/>
              <a:ea typeface="+mn-ea"/>
              <a:cs typeface="+mn-cs"/>
            </a:rPr>
            <a:t>cultivo de rutina y recuperación, su identificación y PSA, y la existencia de otras redes de vigilancia y clínicas de ETS dedicadas exclusivamente a este patógeno.</a:t>
          </a:r>
          <a:r>
            <a:rPr lang="en-US" sz="1100"/>
            <a:t> </a:t>
          </a:r>
        </a:p>
        <a:p>
          <a:endParaRPr lang="en-US" sz="1100"/>
        </a:p>
        <a:p>
          <a:endParaRPr lang="en-US" sz="1100"/>
        </a:p>
      </xdr:txBody>
    </xdr:sp>
    <xdr:clientData/>
  </xdr:twoCellAnchor>
  <xdr:twoCellAnchor>
    <xdr:from>
      <xdr:col>0</xdr:col>
      <xdr:colOff>0</xdr:colOff>
      <xdr:row>39</xdr:row>
      <xdr:rowOff>0</xdr:rowOff>
    </xdr:from>
    <xdr:to>
      <xdr:col>5</xdr:col>
      <xdr:colOff>778932</xdr:colOff>
      <xdr:row>78</xdr:row>
      <xdr:rowOff>160687</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0" y="10865556"/>
          <a:ext cx="7552265" cy="7865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solidFill>
            </a:rPr>
            <a:t>INTRODUCTION - FRANÇAIS</a:t>
          </a:r>
        </a:p>
        <a:p>
          <a:endParaRPr lang="en-US" sz="1100"/>
        </a:p>
        <a:p>
          <a:r>
            <a:rPr lang="fr-FR" sz="1100">
              <a:solidFill>
                <a:schemeClr val="dk1"/>
              </a:solidFill>
              <a:effectLst/>
              <a:latin typeface="+mn-lt"/>
              <a:ea typeface="+mn-ea"/>
              <a:cs typeface="+mn-cs"/>
            </a:rPr>
            <a:t>Le contrôle de la résistance aux antibiotiques (RA) est une priorité mondiale de santé publique. Des réseaux de laboratoires de RA robustes sont essentiels pour nourrir les politiques et processus de contrôle. Ces réseaux obtiennent souvent des données de RA provenant des laboratoires cliniques; ainsi, l'utilité des données agrégées dépend en grande partie de la capacité des laboratoires à produire des résultats précis et fiables d'identification bactérienne (ID) et de tests de sensibilité aux antibiotiques (TSA ou antibiogramme).</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De nombreux outils d'évaluation de laboratoire existants sont conçus pour évaluer les exigences essentielles du système de management de la qualité (SMQ) décrites par les organisations internationales de normalisation des laboratoires telles que l'ISO et le CLSI. Ces outils sont inadéquats pour détecter les lacunes dans les tests au niveau de la paillasse car ils manquent de profondeur technique et de détails suffisants. L'outil d'évaluation LAARC est conçu pour combler cette lacune technique et est spécifiquement adapté aux laboratoires des pays à revenu faible ou intermédiaire qui n'ont pas encore établi de réglementations de laboratoire et / ou d'exigences d'accréditation complètes. L'outil contient de nombreuses questions sur le contrôle de la qualité (CQ) et l'assurance de la qualité (AQ), mais il est principalement de nature technique et ne fournit pas une évaluation complète du SMQ.</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Le but du LAARC est d'évaluer objectivement les compétences techniques bactériologiques et les processus qualité associés nécessaires pour une détection précise et fiable de la RA. Les résultats permettent de développer une feuille de route d'amélioration. Le LAARC a été conçu pour être utilisé dans les laboratoires hospitaliers qui reçoivent et traitent des échantillons cliniques à des fins de soins de routine aux patients. Les laboratoires nationaux de référence (LNR) et autres laboratoires de santé publique bénéficieront de cette évaluation technique, mais les principales lacunes dans l'évaluation des capacités des LNR sont liées au manque de questions sur les tests moléculaires, le financement et le budget des activités et le personnel non-technique requis pour administrer un programme de surveillance de la RAM, ainsi que d’autres composants. D'autres outils sont disponibles pour évaluer ces domaines.</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Le LAARC a été construit autour des types d'échantillons RA prioritaires pour l'OMS, des agents pathogènes et des antibiotiques inclus dans l’initiative GLASS (Global Antimicrobial Resistance Surveillance System) de 2015. Ce sont:</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	</a:t>
          </a:r>
          <a:r>
            <a:rPr lang="fr-FR" sz="1100" i="1">
              <a:solidFill>
                <a:schemeClr val="dk1"/>
              </a:solidFill>
              <a:effectLst/>
              <a:latin typeface="+mn-lt"/>
              <a:ea typeface="+mn-ea"/>
              <a:cs typeface="+mn-cs"/>
            </a:rPr>
            <a:t>Staphylococcus aureus 	</a:t>
          </a:r>
          <a:r>
            <a:rPr lang="fr-FR" sz="1100">
              <a:solidFill>
                <a:schemeClr val="dk1"/>
              </a:solidFill>
              <a:effectLst/>
              <a:latin typeface="+mn-lt"/>
              <a:ea typeface="+mn-ea"/>
              <a:cs typeface="+mn-cs"/>
            </a:rPr>
            <a:t>Sang</a:t>
          </a:r>
          <a:endParaRPr lang="en-US" sz="1100">
            <a:solidFill>
              <a:schemeClr val="dk1"/>
            </a:solidFill>
            <a:effectLst/>
            <a:latin typeface="+mn-lt"/>
            <a:ea typeface="+mn-ea"/>
            <a:cs typeface="+mn-cs"/>
          </a:endParaRPr>
        </a:p>
        <a:p>
          <a:r>
            <a:rPr lang="fr-FR" sz="1100">
              <a:solidFill>
                <a:schemeClr val="dk1"/>
              </a:solidFill>
              <a:effectLst/>
              <a:latin typeface="+mn-lt"/>
              <a:ea typeface="+mn-ea"/>
              <a:cs typeface="+mn-cs"/>
            </a:rPr>
            <a:t>•	</a:t>
          </a:r>
          <a:r>
            <a:rPr lang="fr-FR" sz="1100" i="1">
              <a:solidFill>
                <a:schemeClr val="dk1"/>
              </a:solidFill>
              <a:effectLst/>
              <a:latin typeface="+mn-lt"/>
              <a:ea typeface="+mn-ea"/>
              <a:cs typeface="+mn-cs"/>
            </a:rPr>
            <a:t>Streptococcus pneumoniae	</a:t>
          </a:r>
          <a:r>
            <a:rPr lang="fr-FR" sz="1100">
              <a:solidFill>
                <a:schemeClr val="dk1"/>
              </a:solidFill>
              <a:effectLst/>
              <a:latin typeface="+mn-lt"/>
              <a:ea typeface="+mn-ea"/>
              <a:cs typeface="+mn-cs"/>
            </a:rPr>
            <a:t>Sang</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Escherichia coli 		</a:t>
          </a:r>
          <a:r>
            <a:rPr lang="fr-FR" sz="1100">
              <a:solidFill>
                <a:schemeClr val="dk1"/>
              </a:solidFill>
              <a:effectLst/>
              <a:latin typeface="+mn-lt"/>
              <a:ea typeface="+mn-ea"/>
              <a:cs typeface="+mn-cs"/>
            </a:rPr>
            <a:t>Sang &amp; Urine</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Klebsiella pneumoniae 	</a:t>
          </a:r>
          <a:r>
            <a:rPr lang="fr-FR" sz="1100">
              <a:solidFill>
                <a:schemeClr val="dk1"/>
              </a:solidFill>
              <a:effectLst/>
              <a:latin typeface="+mn-lt"/>
              <a:ea typeface="+mn-ea"/>
              <a:cs typeface="+mn-cs"/>
            </a:rPr>
            <a:t>Sang &amp; Urine</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Salmonella species	</a:t>
          </a:r>
          <a:r>
            <a:rPr lang="fr-FR" sz="1100">
              <a:solidFill>
                <a:schemeClr val="dk1"/>
              </a:solidFill>
              <a:effectLst/>
              <a:latin typeface="+mn-lt"/>
              <a:ea typeface="+mn-ea"/>
              <a:cs typeface="+mn-cs"/>
            </a:rPr>
            <a:t>Selles</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Shigella species 		</a:t>
          </a:r>
          <a:r>
            <a:rPr lang="fr-FR" sz="1100">
              <a:solidFill>
                <a:schemeClr val="dk1"/>
              </a:solidFill>
              <a:effectLst/>
              <a:latin typeface="+mn-lt"/>
              <a:ea typeface="+mn-ea"/>
              <a:cs typeface="+mn-cs"/>
            </a:rPr>
            <a:t>Selles</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Acinetobacter baumannii*	</a:t>
          </a:r>
          <a:r>
            <a:rPr lang="fr-FR" sz="1100">
              <a:solidFill>
                <a:schemeClr val="dk1"/>
              </a:solidFill>
              <a:effectLst/>
              <a:latin typeface="+mn-lt"/>
              <a:ea typeface="+mn-ea"/>
              <a:cs typeface="+mn-cs"/>
            </a:rPr>
            <a:t>Sang</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Neisseria gonorrhoeae**	</a:t>
          </a:r>
          <a:r>
            <a:rPr lang="fr-FR" sz="1100">
              <a:solidFill>
                <a:schemeClr val="dk1"/>
              </a:solidFill>
              <a:effectLst/>
              <a:latin typeface="+mn-lt"/>
              <a:ea typeface="+mn-ea"/>
              <a:cs typeface="+mn-cs"/>
            </a:rPr>
            <a:t>Écouvillons urétraux &amp; cervicaux</a:t>
          </a:r>
          <a:endParaRPr lang="en-US" sz="1100">
            <a:solidFill>
              <a:schemeClr val="dk1"/>
            </a:solidFill>
            <a:effectLst/>
            <a:latin typeface="+mn-lt"/>
            <a:ea typeface="+mn-ea"/>
            <a:cs typeface="+mn-cs"/>
          </a:endParaRPr>
        </a:p>
        <a:p>
          <a:br>
            <a:rPr lang="fr-FR" sz="1100">
              <a:solidFill>
                <a:schemeClr val="dk1"/>
              </a:solidFill>
              <a:effectLst/>
              <a:latin typeface="+mn-lt"/>
              <a:ea typeface="+mn-ea"/>
              <a:cs typeface="+mn-cs"/>
            </a:rPr>
          </a:br>
          <a:r>
            <a:rPr lang="fr-FR" sz="1100">
              <a:solidFill>
                <a:schemeClr val="dk1"/>
              </a:solidFill>
              <a:effectLst/>
              <a:latin typeface="+mn-lt"/>
              <a:ea typeface="+mn-ea"/>
              <a:cs typeface="+mn-cs"/>
            </a:rPr>
            <a:t>D'autres types de cultures, agents pathogènes et antibiotiques peuvent être évalués conformément aux priorités nationales; cependant, l'itération actuelle de cet outil se concentre uniquement sur ce qui précède; les utilisateurs ne peuvent pas éditer ou modifier l'outil.</a:t>
          </a:r>
          <a:br>
            <a:rPr lang="fr-FR"/>
          </a:br>
          <a:br>
            <a:rPr lang="fr-FR"/>
          </a:br>
          <a:r>
            <a:rPr lang="fr-FR" sz="900"/>
            <a:t>* La plupart des laboratoires ne sont pas en mesure de différencier définitivement </a:t>
          </a:r>
          <a:r>
            <a:rPr lang="fr-FR" sz="900" i="1"/>
            <a:t>Acinetobacter calcoaceticus </a:t>
          </a:r>
          <a:r>
            <a:rPr lang="fr-FR" sz="900"/>
            <a:t>de </a:t>
          </a:r>
          <a:r>
            <a:rPr lang="fr-FR" sz="900" i="1"/>
            <a:t>A. baumannii</a:t>
          </a:r>
          <a:r>
            <a:rPr lang="fr-FR" sz="900"/>
            <a:t>. Il s'agit donc en pratique du complexe </a:t>
          </a:r>
          <a:r>
            <a:rPr lang="fr-FR" sz="900" i="1"/>
            <a:t>Acinetobacter calcoaceticus-baumannii</a:t>
          </a:r>
          <a:br>
            <a:rPr lang="fr-FR" sz="900"/>
          </a:br>
          <a:r>
            <a:rPr lang="fr-FR" sz="900"/>
            <a:t>** </a:t>
          </a:r>
          <a:r>
            <a:rPr lang="fr-FR" sz="900" i="1"/>
            <a:t>N. gonorrhoeae </a:t>
          </a:r>
          <a:r>
            <a:rPr lang="fr-FR" sz="900"/>
            <a:t>a été exclu de cet outil en raison des complexités inhérentes à la culture et au rétablissement en routine, à l'identification et au</a:t>
          </a:r>
          <a:r>
            <a:rPr lang="fr-FR" sz="900" baseline="0"/>
            <a:t> </a:t>
          </a:r>
          <a:r>
            <a:rPr lang="fr-FR" sz="900"/>
            <a:t>TSA, ainsi qu'à l'existence d'autres réseaux de surveillance et de cliniques de traitement des MST exclusivement consacrés à cet agent pathogène.</a:t>
          </a:r>
          <a:endParaRPr lang="en-US" sz="105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54608</xdr:colOff>
      <xdr:row>0</xdr:row>
      <xdr:rowOff>180975</xdr:rowOff>
    </xdr:from>
    <xdr:to>
      <xdr:col>15</xdr:col>
      <xdr:colOff>654055</xdr:colOff>
      <xdr:row>32</xdr:row>
      <xdr:rowOff>171450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455158" y="180975"/>
          <a:ext cx="5571497" cy="6391275"/>
        </a:xfrm>
        <a:prstGeom prst="rect">
          <a:avLst/>
        </a:prstGeom>
      </xdr:spPr>
    </xdr:pic>
    <xdr:clientData/>
  </xdr:twoCellAnchor>
  <xdr:twoCellAnchor editAs="oneCell">
    <xdr:from>
      <xdr:col>0</xdr:col>
      <xdr:colOff>57150</xdr:colOff>
      <xdr:row>2</xdr:row>
      <xdr:rowOff>160654</xdr:rowOff>
    </xdr:from>
    <xdr:to>
      <xdr:col>6</xdr:col>
      <xdr:colOff>171450</xdr:colOff>
      <xdr:row>16</xdr:row>
      <xdr:rowOff>19050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560704"/>
          <a:ext cx="3790950" cy="2658746"/>
        </a:xfrm>
        <a:prstGeom prst="rect">
          <a:avLst/>
        </a:prstGeom>
      </xdr:spPr>
    </xdr:pic>
    <xdr:clientData/>
  </xdr:twoCellAnchor>
  <xdr:twoCellAnchor editAs="oneCell">
    <xdr:from>
      <xdr:col>7</xdr:col>
      <xdr:colOff>483870</xdr:colOff>
      <xdr:row>0</xdr:row>
      <xdr:rowOff>170179</xdr:rowOff>
    </xdr:from>
    <xdr:to>
      <xdr:col>14</xdr:col>
      <xdr:colOff>430489</xdr:colOff>
      <xdr:row>1</xdr:row>
      <xdr:rowOff>192404</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4804410" y="170179"/>
          <a:ext cx="4183339" cy="2203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184</xdr:row>
      <xdr:rowOff>0</xdr:rowOff>
    </xdr:from>
    <xdr:to>
      <xdr:col>1</xdr:col>
      <xdr:colOff>304800</xdr:colOff>
      <xdr:row>185</xdr:row>
      <xdr:rowOff>102870</xdr:rowOff>
    </xdr:to>
    <xdr:sp macro="" textlink="">
      <xdr:nvSpPr>
        <xdr:cNvPr id="2" name="AutoShape 3" descr="Image result for red flag">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381000" y="511968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174</xdr:row>
      <xdr:rowOff>0</xdr:rowOff>
    </xdr:from>
    <xdr:to>
      <xdr:col>1</xdr:col>
      <xdr:colOff>304800</xdr:colOff>
      <xdr:row>175</xdr:row>
      <xdr:rowOff>102870</xdr:rowOff>
    </xdr:to>
    <xdr:sp macro="" textlink="">
      <xdr:nvSpPr>
        <xdr:cNvPr id="3" name="AutoShape 4" descr="Image result for red flag">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381000" y="487965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1</xdr:col>
      <xdr:colOff>304800</xdr:colOff>
      <xdr:row>91</xdr:row>
      <xdr:rowOff>97792</xdr:rowOff>
    </xdr:to>
    <xdr:sp macro="" textlink="">
      <xdr:nvSpPr>
        <xdr:cNvPr id="2" name="AutoShape 3" descr="Image result for red flag">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381000" y="32232600"/>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80</xdr:row>
      <xdr:rowOff>0</xdr:rowOff>
    </xdr:from>
    <xdr:to>
      <xdr:col>1</xdr:col>
      <xdr:colOff>304800</xdr:colOff>
      <xdr:row>81</xdr:row>
      <xdr:rowOff>97791</xdr:rowOff>
    </xdr:to>
    <xdr:sp macro="" textlink="">
      <xdr:nvSpPr>
        <xdr:cNvPr id="3" name="AutoShape 4" descr="Image result for red flag">
          <a:extLst>
            <a:ext uri="{FF2B5EF4-FFF2-40B4-BE49-F238E27FC236}">
              <a16:creationId xmlns:a16="http://schemas.microsoft.com/office/drawing/2014/main" id="{00000000-0008-0000-0700-000003000000}"/>
            </a:ext>
          </a:extLst>
        </xdr:cNvPr>
        <xdr:cNvSpPr>
          <a:spLocks noChangeAspect="1" noChangeArrowheads="1"/>
        </xdr:cNvSpPr>
      </xdr:nvSpPr>
      <xdr:spPr bwMode="auto">
        <a:xfrm>
          <a:off x="381000" y="298323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89</xdr:row>
      <xdr:rowOff>0</xdr:rowOff>
    </xdr:from>
    <xdr:to>
      <xdr:col>1</xdr:col>
      <xdr:colOff>304800</xdr:colOff>
      <xdr:row>90</xdr:row>
      <xdr:rowOff>92074</xdr:rowOff>
    </xdr:to>
    <xdr:sp macro="" textlink="">
      <xdr:nvSpPr>
        <xdr:cNvPr id="3" name="AutoShape 4" descr="Image result for red flag">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381000" y="281559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28575</xdr:colOff>
      <xdr:row>92</xdr:row>
      <xdr:rowOff>19050</xdr:rowOff>
    </xdr:from>
    <xdr:to>
      <xdr:col>7</xdr:col>
      <xdr:colOff>1003935</xdr:colOff>
      <xdr:row>96</xdr:row>
      <xdr:rowOff>190499</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62</xdr:row>
      <xdr:rowOff>9525</xdr:rowOff>
    </xdr:from>
    <xdr:to>
      <xdr:col>7</xdr:col>
      <xdr:colOff>1000126</xdr:colOff>
      <xdr:row>74</xdr:row>
      <xdr:rowOff>9524</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xdr:colOff>
      <xdr:row>129</xdr:row>
      <xdr:rowOff>190501</xdr:rowOff>
    </xdr:from>
    <xdr:to>
      <xdr:col>7</xdr:col>
      <xdr:colOff>1005840</xdr:colOff>
      <xdr:row>135</xdr:row>
      <xdr:rowOff>1</xdr:rowOff>
    </xdr:to>
    <xdr:graphicFrame macro="">
      <xdr:nvGraphicFramePr>
        <xdr:cNvPr id="6" name="Chart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38100</xdr:colOff>
      <xdr:row>98</xdr:row>
      <xdr:rowOff>9621</xdr:rowOff>
    </xdr:from>
    <xdr:to>
      <xdr:col>7</xdr:col>
      <xdr:colOff>1005839</xdr:colOff>
      <xdr:row>104</xdr:row>
      <xdr:rowOff>190500</xdr:rowOff>
    </xdr:to>
    <xdr:graphicFrame macro="">
      <xdr:nvGraphicFramePr>
        <xdr:cNvPr id="5" name="Chart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38100</xdr:colOff>
      <xdr:row>136</xdr:row>
      <xdr:rowOff>0</xdr:rowOff>
    </xdr:from>
    <xdr:to>
      <xdr:col>7</xdr:col>
      <xdr:colOff>1003936</xdr:colOff>
      <xdr:row>151</xdr:row>
      <xdr:rowOff>190500</xdr:rowOff>
    </xdr:to>
    <xdr:graphicFrame macro="">
      <xdr:nvGraphicFramePr>
        <xdr:cNvPr id="7" name="Chart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47625</xdr:colOff>
      <xdr:row>153</xdr:row>
      <xdr:rowOff>1</xdr:rowOff>
    </xdr:from>
    <xdr:to>
      <xdr:col>7</xdr:col>
      <xdr:colOff>1000125</xdr:colOff>
      <xdr:row>160</xdr:row>
      <xdr:rowOff>0</xdr:rowOff>
    </xdr:to>
    <xdr:graphicFrame macro="">
      <xdr:nvGraphicFramePr>
        <xdr:cNvPr id="8" name="Chart 7">
          <a:extLst>
            <a:ext uri="{FF2B5EF4-FFF2-40B4-BE49-F238E27FC236}">
              <a16:creationId xmlns:a16="http://schemas.microsoft.com/office/drawing/2014/main" id="{00000000-0008-0000-1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38100</xdr:colOff>
      <xdr:row>161</xdr:row>
      <xdr:rowOff>9525</xdr:rowOff>
    </xdr:from>
    <xdr:to>
      <xdr:col>7</xdr:col>
      <xdr:colOff>1003935</xdr:colOff>
      <xdr:row>172</xdr:row>
      <xdr:rowOff>9525</xdr:rowOff>
    </xdr:to>
    <xdr:graphicFrame macro="">
      <xdr:nvGraphicFramePr>
        <xdr:cNvPr id="9" name="Chart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38100</xdr:colOff>
      <xdr:row>173</xdr:row>
      <xdr:rowOff>9526</xdr:rowOff>
    </xdr:from>
    <xdr:to>
      <xdr:col>7</xdr:col>
      <xdr:colOff>1003935</xdr:colOff>
      <xdr:row>177</xdr:row>
      <xdr:rowOff>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38100</xdr:colOff>
      <xdr:row>177</xdr:row>
      <xdr:rowOff>190499</xdr:rowOff>
    </xdr:from>
    <xdr:to>
      <xdr:col>7</xdr:col>
      <xdr:colOff>1005840</xdr:colOff>
      <xdr:row>182</xdr:row>
      <xdr:rowOff>190499</xdr:rowOff>
    </xdr:to>
    <xdr:graphicFrame macro="">
      <xdr:nvGraphicFramePr>
        <xdr:cNvPr id="12" name="Chart 11">
          <a:extLst>
            <a:ext uri="{FF2B5EF4-FFF2-40B4-BE49-F238E27FC236}">
              <a16:creationId xmlns:a16="http://schemas.microsoft.com/office/drawing/2014/main" id="{00000000-0008-0000-1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38101</xdr:colOff>
      <xdr:row>106</xdr:row>
      <xdr:rowOff>9526</xdr:rowOff>
    </xdr:from>
    <xdr:to>
      <xdr:col>7</xdr:col>
      <xdr:colOff>1005842</xdr:colOff>
      <xdr:row>115</xdr:row>
      <xdr:rowOff>1</xdr:rowOff>
    </xdr:to>
    <xdr:graphicFrame macro="">
      <xdr:nvGraphicFramePr>
        <xdr:cNvPr id="14" name="Chart 13">
          <a:extLst>
            <a:ext uri="{FF2B5EF4-FFF2-40B4-BE49-F238E27FC236}">
              <a16:creationId xmlns:a16="http://schemas.microsoft.com/office/drawing/2014/main" id="{00000000-0008-0000-1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38101</xdr:colOff>
      <xdr:row>115</xdr:row>
      <xdr:rowOff>200024</xdr:rowOff>
    </xdr:from>
    <xdr:to>
      <xdr:col>7</xdr:col>
      <xdr:colOff>1002032</xdr:colOff>
      <xdr:row>122</xdr:row>
      <xdr:rowOff>0</xdr:rowOff>
    </xdr:to>
    <xdr:graphicFrame macro="">
      <xdr:nvGraphicFramePr>
        <xdr:cNvPr id="15" name="Chart 14">
          <a:extLst>
            <a:ext uri="{FF2B5EF4-FFF2-40B4-BE49-F238E27FC236}">
              <a16:creationId xmlns:a16="http://schemas.microsoft.com/office/drawing/2014/main" id="{00000000-0008-0000-1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38101</xdr:colOff>
      <xdr:row>123</xdr:row>
      <xdr:rowOff>0</xdr:rowOff>
    </xdr:from>
    <xdr:to>
      <xdr:col>7</xdr:col>
      <xdr:colOff>1005842</xdr:colOff>
      <xdr:row>129</xdr:row>
      <xdr:rowOff>0</xdr:rowOff>
    </xdr:to>
    <xdr:graphicFrame macro="">
      <xdr:nvGraphicFramePr>
        <xdr:cNvPr id="16" name="Chart 15">
          <a:extLst>
            <a:ext uri="{FF2B5EF4-FFF2-40B4-BE49-F238E27FC236}">
              <a16:creationId xmlns:a16="http://schemas.microsoft.com/office/drawing/2014/main" id="{00000000-0008-0000-1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28575</xdr:colOff>
      <xdr:row>75</xdr:row>
      <xdr:rowOff>19050</xdr:rowOff>
    </xdr:from>
    <xdr:to>
      <xdr:col>7</xdr:col>
      <xdr:colOff>1003935</xdr:colOff>
      <xdr:row>82</xdr:row>
      <xdr:rowOff>0</xdr:rowOff>
    </xdr:to>
    <xdr:graphicFrame macro="">
      <xdr:nvGraphicFramePr>
        <xdr:cNvPr id="19" name="Chart 18">
          <a:extLst>
            <a:ext uri="{FF2B5EF4-FFF2-40B4-BE49-F238E27FC236}">
              <a16:creationId xmlns:a16="http://schemas.microsoft.com/office/drawing/2014/main" id="{00000000-0008-0000-1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38100</xdr:colOff>
      <xdr:row>83</xdr:row>
      <xdr:rowOff>1</xdr:rowOff>
    </xdr:from>
    <xdr:to>
      <xdr:col>7</xdr:col>
      <xdr:colOff>1000125</xdr:colOff>
      <xdr:row>91</xdr:row>
      <xdr:rowOff>0</xdr:rowOff>
    </xdr:to>
    <xdr:graphicFrame macro="">
      <xdr:nvGraphicFramePr>
        <xdr:cNvPr id="20" name="Chart 19">
          <a:extLst>
            <a:ext uri="{FF2B5EF4-FFF2-40B4-BE49-F238E27FC236}">
              <a16:creationId xmlns:a16="http://schemas.microsoft.com/office/drawing/2014/main" id="{00000000-0008-0000-1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38100</xdr:colOff>
      <xdr:row>9</xdr:row>
      <xdr:rowOff>47624</xdr:rowOff>
    </xdr:from>
    <xdr:to>
      <xdr:col>7</xdr:col>
      <xdr:colOff>352425</xdr:colOff>
      <xdr:row>26</xdr:row>
      <xdr:rowOff>114300</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47625</xdr:colOff>
      <xdr:row>27</xdr:row>
      <xdr:rowOff>1</xdr:rowOff>
    </xdr:from>
    <xdr:to>
      <xdr:col>7</xdr:col>
      <xdr:colOff>361950</xdr:colOff>
      <xdr:row>34</xdr:row>
      <xdr:rowOff>19050</xdr:rowOff>
    </xdr:to>
    <xdr:graphicFrame macro="">
      <xdr:nvGraphicFramePr>
        <xdr:cNvPr id="11" name="Chart 10">
          <a:extLst>
            <a:ext uri="{FF2B5EF4-FFF2-40B4-BE49-F238E27FC236}">
              <a16:creationId xmlns:a16="http://schemas.microsoft.com/office/drawing/2014/main" id="{00000000-0008-0000-1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31630</xdr:colOff>
      <xdr:row>46</xdr:row>
      <xdr:rowOff>9525</xdr:rowOff>
    </xdr:from>
    <xdr:to>
      <xdr:col>8</xdr:col>
      <xdr:colOff>5715</xdr:colOff>
      <xdr:row>60</xdr:row>
      <xdr:rowOff>190499</xdr:rowOff>
    </xdr:to>
    <xdr:graphicFrame macro="">
      <xdr:nvGraphicFramePr>
        <xdr:cNvPr id="18" name="Chart 17">
          <a:extLst>
            <a:ext uri="{FF2B5EF4-FFF2-40B4-BE49-F238E27FC236}">
              <a16:creationId xmlns:a16="http://schemas.microsoft.com/office/drawing/2014/main" id="{00000000-0008-0000-1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xdr:row>
          <xdr:rowOff>91440</xdr:rowOff>
        </xdr:from>
        <xdr:to>
          <xdr:col>9</xdr:col>
          <xdr:colOff>518160</xdr:colOff>
          <xdr:row>42</xdr:row>
          <xdr:rowOff>76200</xdr:rowOff>
        </xdr:to>
        <xdr:sp macro="" textlink="">
          <xdr:nvSpPr>
            <xdr:cNvPr id="26627" name="Object 3" hidden="1">
              <a:extLst>
                <a:ext uri="{63B3BB69-23CF-44E3-9099-C40C66FF867C}">
                  <a14:compatExt spid="_x0000_s26627"/>
                </a:ext>
                <a:ext uri="{FF2B5EF4-FFF2-40B4-BE49-F238E27FC236}">
                  <a16:creationId xmlns:a16="http://schemas.microsoft.com/office/drawing/2014/main" id="{00000000-0008-0000-1600-000003680000}"/>
                </a:ext>
              </a:extLst>
            </xdr:cNvPr>
            <xdr:cNvSpPr/>
          </xdr:nvSpPr>
          <xdr:spPr bwMode="auto">
            <a:xfrm>
              <a:off x="0" y="0"/>
              <a:ext cx="0" cy="0"/>
            </a:xfrm>
            <a:prstGeom prst="rect">
              <a:avLst/>
            </a:prstGeom>
            <a:solidFill>
              <a:srgbClr val="FFFFFF"/>
            </a:solidFill>
            <a:ln w="12700">
              <a:solidFill>
                <a:srgbClr val="000000"/>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clsi-m100.com/" TargetMode="External"/><Relationship Id="rId1" Type="http://schemas.openxmlformats.org/officeDocument/2006/relationships/hyperlink" Target="http://www.eucast.org/ast_of_bacteria/guidance_document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dc.gov/drugresistance/intl-activities/laarc.html" TargetMode="External"/><Relationship Id="rId3" Type="http://schemas.openxmlformats.org/officeDocument/2006/relationships/hyperlink" Target="https://www.cdc.gov/drugresistance/intl-activities/registration.html" TargetMode="External"/><Relationship Id="rId7" Type="http://schemas.openxmlformats.org/officeDocument/2006/relationships/hyperlink" Target="https://www.cdc.gov/drugresistance/intl-activities/laarc.html" TargetMode="External"/><Relationship Id="rId2" Type="http://schemas.openxmlformats.org/officeDocument/2006/relationships/hyperlink" Target="https://www.cdc.gov/drugresistance/intl-activities/registration.html" TargetMode="External"/><Relationship Id="rId1" Type="http://schemas.openxmlformats.org/officeDocument/2006/relationships/hyperlink" Target="https://www.cdc.gov/drugresistance/intl-activities/registration.html" TargetMode="External"/><Relationship Id="rId6" Type="http://schemas.openxmlformats.org/officeDocument/2006/relationships/hyperlink" Target="https://www.cdc.gov/drugresistance/intl-activities/laarc.html" TargetMode="External"/><Relationship Id="rId5" Type="http://schemas.openxmlformats.org/officeDocument/2006/relationships/hyperlink" Target="https://www.cdc.gov/drugresistance/intl-activities/laarc.html" TargetMode="External"/><Relationship Id="rId4" Type="http://schemas.openxmlformats.org/officeDocument/2006/relationships/hyperlink" Target="https://www.cdc.gov/drugresistance/intl-activities/registration.html"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23.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dc.gov/drugresistance/intl-activities/laarc.html" TargetMode="External"/><Relationship Id="rId2" Type="http://schemas.openxmlformats.org/officeDocument/2006/relationships/hyperlink" Target="https://www.cdc.gov/drugresistance/intl-activities/registration.html" TargetMode="External"/><Relationship Id="rId1" Type="http://schemas.openxmlformats.org/officeDocument/2006/relationships/hyperlink" Target="https://wwwdev.cdc.gov/drugresistance/LAARC/registration.htm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lac.org/signatory-search/"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Z22"/>
  <sheetViews>
    <sheetView showGridLines="0" topLeftCell="A4" zoomScale="60" zoomScaleNormal="60" zoomScalePageLayoutView="80" workbookViewId="0">
      <selection activeCell="E27" sqref="E27"/>
    </sheetView>
  </sheetViews>
  <sheetFormatPr defaultColWidth="11" defaultRowHeight="15.6"/>
  <cols>
    <col min="2" max="2" width="4.19921875" customWidth="1"/>
    <col min="10" max="10" width="20.5" bestFit="1" customWidth="1"/>
    <col min="11" max="11" width="2.69921875" bestFit="1" customWidth="1"/>
    <col min="14" max="14" width="13.69921875" bestFit="1" customWidth="1"/>
  </cols>
  <sheetData>
    <row r="1" spans="1:26" s="211" customFormat="1">
      <c r="A1" s="344"/>
      <c r="B1" s="344"/>
      <c r="C1" s="344"/>
      <c r="D1" s="344"/>
      <c r="E1" s="344"/>
      <c r="F1" s="344"/>
      <c r="G1" s="344"/>
      <c r="H1" s="344"/>
      <c r="I1" s="344"/>
      <c r="J1" s="344"/>
      <c r="K1" s="344"/>
      <c r="L1" s="344"/>
      <c r="M1" s="344"/>
      <c r="N1" s="344"/>
      <c r="O1" s="344"/>
      <c r="P1" s="344"/>
      <c r="Q1" s="344"/>
      <c r="R1" s="344"/>
      <c r="S1" s="344"/>
      <c r="T1" s="344"/>
      <c r="U1" s="344"/>
      <c r="V1" s="344"/>
      <c r="W1" s="344"/>
      <c r="X1" s="344"/>
      <c r="Y1" s="344"/>
      <c r="Z1" s="344"/>
    </row>
    <row r="2" spans="1:26" s="211" customFormat="1"/>
    <row r="3" spans="1:26" s="211" customFormat="1"/>
    <row r="9" spans="1:26" ht="40.799999999999997">
      <c r="E9" s="281" t="str">
        <f>Language!A9</f>
        <v>Laboratory Assessment</v>
      </c>
    </row>
    <row r="10" spans="1:26" ht="40.799999999999997">
      <c r="E10" s="281" t="str">
        <f>Language!A10</f>
        <v xml:space="preserve">of </v>
      </c>
      <c r="K10" s="286"/>
    </row>
    <row r="11" spans="1:26" ht="40.799999999999997">
      <c r="E11" s="281" t="str">
        <f>Language!A11</f>
        <v>Antibiotic Resistance</v>
      </c>
      <c r="K11" s="286"/>
      <c r="M11" s="30"/>
    </row>
    <row r="12" spans="1:26" ht="40.799999999999997">
      <c r="E12" s="281" t="str">
        <f>Language!A12</f>
        <v>Testing Capacity</v>
      </c>
    </row>
    <row r="13" spans="1:26">
      <c r="K13" s="286"/>
    </row>
    <row r="14" spans="1:26" ht="40.799999999999997">
      <c r="E14" s="350" t="str">
        <f>Language!A13</f>
        <v>LAARC</v>
      </c>
      <c r="K14" s="286"/>
      <c r="M14" s="30"/>
    </row>
    <row r="16" spans="1:26" ht="23.4">
      <c r="E16" s="280" t="str">
        <f>Language!A14</f>
        <v>Version 2.0 - August 2020</v>
      </c>
    </row>
    <row r="17" spans="5:5">
      <c r="E17" s="63"/>
    </row>
    <row r="18" spans="5:5">
      <c r="E18" s="351"/>
    </row>
    <row r="19" spans="5:5">
      <c r="E19" s="351"/>
    </row>
    <row r="22" spans="5:5" ht="23.4">
      <c r="E22" s="280" t="str">
        <f>Language!A15</f>
        <v>Developed by CDC in collaboration with IQLS</v>
      </c>
    </row>
  </sheetData>
  <sheetProtection algorithmName="SHA-256" hashValue="KNQTmxrzTkNEbKVpMiyEomW8RF0tB276cLjAfzYIPMg=" saltValue="L7FuNAc9SHdj3Saw00w3TA==" spinCount="100000" sheet="1" objects="1" scenarios="1"/>
  <phoneticPr fontId="46" type="noConversion"/>
  <pageMargins left="0.70000000000000007" right="0.70000000000000007" top="0.75000000000000011" bottom="0.75000000000000011" header="0.30000000000000004" footer="0.3000000000000000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0070C0"/>
    <pageSetUpPr fitToPage="1"/>
  </sheetPr>
  <dimension ref="A1:K69"/>
  <sheetViews>
    <sheetView zoomScaleNormal="100" zoomScalePageLayoutView="80" workbookViewId="0">
      <selection activeCell="C3" sqref="C3"/>
    </sheetView>
  </sheetViews>
  <sheetFormatPr defaultColWidth="11" defaultRowHeight="15.6"/>
  <cols>
    <col min="1" max="1" width="4.69921875" style="6" customWidth="1"/>
    <col min="2" max="2" width="82.19921875" style="8" customWidth="1"/>
    <col min="3" max="3" width="5.19921875" style="28" customWidth="1"/>
    <col min="4" max="4" width="4" style="22" customWidth="1"/>
    <col min="5" max="5" width="3.69921875" style="22" hidden="1" customWidth="1"/>
    <col min="6" max="6" width="5.19921875" style="28" hidden="1" customWidth="1"/>
    <col min="7" max="7" width="5.19921875" style="22" customWidth="1"/>
    <col min="8" max="8" width="37.69921875" style="72" customWidth="1"/>
    <col min="9" max="9" width="9.69921875" style="195" customWidth="1"/>
    <col min="10" max="10" width="9.69921875" style="201" customWidth="1"/>
    <col min="11" max="16384" width="11" style="22"/>
  </cols>
  <sheetData>
    <row r="1" spans="1:9" ht="16.2" thickBot="1">
      <c r="A1" s="10"/>
      <c r="B1" s="43" t="str">
        <f>Language!A819</f>
        <v>4- QUALITY ASSURANCE</v>
      </c>
      <c r="C1" s="52" t="str">
        <f>IF(COUNT(G3:G67)=0,"???",AVERAGE(G3:G67))</f>
        <v>???</v>
      </c>
      <c r="H1" s="199" t="str">
        <f>'Facility 1'!H1</f>
        <v>Comments</v>
      </c>
    </row>
    <row r="2" spans="1:9" ht="16.2" thickBot="1">
      <c r="A2" s="166"/>
      <c r="B2" s="114" t="str">
        <f>Language!A820</f>
        <v>QUALITY STRUCTURE/BASICS</v>
      </c>
      <c r="C2" s="81" t="str">
        <f>IF(COUNTBLANK(C3:C18)=16,"???",IF(COUNT(G3:G18)=0,"NA",AVERAGE(G3:G18)))</f>
        <v>???</v>
      </c>
      <c r="F2" s="29"/>
      <c r="G2" s="18"/>
      <c r="H2" s="446"/>
    </row>
    <row r="3" spans="1:9">
      <c r="A3" s="10" t="s">
        <v>461</v>
      </c>
      <c r="B3" s="93" t="str">
        <f>Language!A821</f>
        <v>Is there a Quality Manual in place that conforms to ISO standards? (15189, 17025 or 9001)?</v>
      </c>
      <c r="C3" s="27"/>
      <c r="E3" s="28"/>
      <c r="F3" s="29">
        <f>C3</f>
        <v>0</v>
      </c>
      <c r="G3" s="18" t="str">
        <f t="shared" ref="G3:G5" si="0">IF(F3="Yes",1,IF(F3="No",0,"'"))</f>
        <v>'</v>
      </c>
      <c r="H3" s="447"/>
    </row>
    <row r="4" spans="1:9">
      <c r="A4" s="10" t="s">
        <v>462</v>
      </c>
      <c r="B4" s="93" t="str">
        <f>Language!A822</f>
        <v>Does the lab have a formally designated Quality Officer or Manager?</v>
      </c>
      <c r="C4" s="27"/>
      <c r="F4" s="29">
        <f>C4</f>
        <v>0</v>
      </c>
      <c r="G4" s="18" t="str">
        <f t="shared" si="0"/>
        <v>'</v>
      </c>
      <c r="H4" s="448"/>
    </row>
    <row r="5" spans="1:9">
      <c r="A5" s="10" t="s">
        <v>463</v>
      </c>
      <c r="B5" s="182" t="str">
        <f>Language!A823</f>
        <v>Is there a Quality Focal Point in bacteriology, in charge of collaboration with quality manager?</v>
      </c>
      <c r="C5" s="27"/>
      <c r="F5" s="29">
        <f>C5</f>
        <v>0</v>
      </c>
      <c r="G5" s="18" t="str">
        <f t="shared" si="0"/>
        <v>'</v>
      </c>
      <c r="H5" s="447"/>
    </row>
    <row r="6" spans="1:9" ht="27.6" customHeight="1">
      <c r="A6" s="10" t="s">
        <v>464</v>
      </c>
      <c r="B6" s="182" t="str">
        <f>Language!A824</f>
        <v>Is there documentation showing that the Quality Officers and Focal Points have received appropriate training in Quality Management Systems (QMS)?</v>
      </c>
      <c r="C6" s="27"/>
      <c r="F6" s="91" t="str">
        <f>IF(C6=1,"Yes",IF(C6=2,"Some",IF(C6=3,"No","0")))</f>
        <v>0</v>
      </c>
      <c r="G6" s="18" t="str">
        <f>IF(F6="Yes",1,IF(F6="Some",0.5,IF(F6="No",0,"'")))</f>
        <v>'</v>
      </c>
      <c r="H6" s="449"/>
      <c r="I6" s="194" t="str">
        <f>IF(F6="No","Training Opportunity",IF(F6="Some","Training Opportunity","'"))</f>
        <v>'</v>
      </c>
    </row>
    <row r="7" spans="1:9">
      <c r="A7" s="10"/>
      <c r="B7" s="465" t="str">
        <f>Language!A825</f>
        <v>1: Yes - 2: Some, but would like additional training - 3: No training documented</v>
      </c>
      <c r="D7" s="28"/>
      <c r="E7" s="28"/>
      <c r="G7" s="28"/>
    </row>
    <row r="8" spans="1:9" ht="27.6" customHeight="1">
      <c r="A8" s="10" t="s">
        <v>465</v>
      </c>
      <c r="B8" s="8" t="str">
        <f>Language!A826</f>
        <v>How often does a Supervisor or Quality Officer review Media QC, ID QC, and AST QC results?</v>
      </c>
      <c r="C8" s="27"/>
      <c r="F8" s="29">
        <f>C8</f>
        <v>0</v>
      </c>
      <c r="G8" s="18" t="str">
        <f>IF(F8=1,1,IF(F8=2,0.5,IF(F8=0,"'",0)))</f>
        <v>'</v>
      </c>
      <c r="H8" s="450"/>
    </row>
    <row r="9" spans="1:9">
      <c r="A9" s="10"/>
      <c r="B9" s="465" t="str">
        <f>Language!A827</f>
        <v>1: Weekly  – 2: Monthly  – 3: Sporadically – 4: Never</v>
      </c>
    </row>
    <row r="10" spans="1:9">
      <c r="A10" s="10" t="s">
        <v>466</v>
      </c>
      <c r="B10" s="8" t="str">
        <f>Language!A828</f>
        <v>Is there evidence that QC review is performed at the stated frequency?</v>
      </c>
      <c r="C10" s="27"/>
      <c r="F10" s="29">
        <f>C10</f>
        <v>0</v>
      </c>
      <c r="G10" s="18" t="str">
        <f>IF(F10=1,1,IF(F10=2,0.5,IF(F10=3,0,"'")))</f>
        <v>'</v>
      </c>
      <c r="H10" s="449"/>
    </row>
    <row r="11" spans="1:9">
      <c r="A11" s="10"/>
      <c r="B11" s="465" t="str">
        <f>Language!A829</f>
        <v>1: Yes, for all QC results - 2: Yes, but only for some QC results - 3: No</v>
      </c>
    </row>
    <row r="12" spans="1:9" ht="27.6" customHeight="1">
      <c r="A12" s="10" t="s">
        <v>1072</v>
      </c>
      <c r="B12" s="8" t="str">
        <f>Language!A830</f>
        <v xml:space="preserve">Is there documentation showing that the Supervisor/Quality Officer received training on how to effectively troubleshoot QC failures? </v>
      </c>
      <c r="C12" s="27"/>
      <c r="F12" s="91" t="str">
        <f>IF(C12=1,"Yes",IF(C12=2,"Some",IF(C12=3,"No","0")))</f>
        <v>0</v>
      </c>
      <c r="G12" s="18" t="str">
        <f>IF(F12="Yes",1,IF(F12="Some",0.5,IF(F12="No",0,"'")))</f>
        <v>'</v>
      </c>
      <c r="H12" s="449"/>
      <c r="I12" s="194" t="str">
        <f>IF(F12="No","Training Opportunity",IF(F12="Some","Training Opportunity","'"))</f>
        <v>'</v>
      </c>
    </row>
    <row r="13" spans="1:9">
      <c r="A13" s="10"/>
      <c r="B13" s="465" t="str">
        <f>Language!A831</f>
        <v>1: Yes - 2: Some, but would like additional training - 3: No training documented</v>
      </c>
      <c r="D13" s="28"/>
      <c r="E13" s="28"/>
      <c r="G13" s="28"/>
    </row>
    <row r="14" spans="1:9">
      <c r="A14" s="10" t="s">
        <v>1073</v>
      </c>
      <c r="B14" s="56" t="str">
        <f>Language!A832</f>
        <v>Does a Supervisor or qualified designee review positive culture results every day?</v>
      </c>
      <c r="C14" s="27"/>
      <c r="F14" s="29">
        <f>C14</f>
        <v>0</v>
      </c>
      <c r="G14" s="18" t="str">
        <f t="shared" ref="G14:G15" si="1">IF(F14="Yes",1,IF(F14="No",0,"'"))</f>
        <v>'</v>
      </c>
      <c r="H14" s="450"/>
    </row>
    <row r="15" spans="1:9" ht="27.6" customHeight="1">
      <c r="A15" s="10" t="s">
        <v>467</v>
      </c>
      <c r="B15" s="20" t="str">
        <f>Language!A833</f>
        <v>Are there written guidelines stating who is permitted to modify erroneous lab results after they have been reported?</v>
      </c>
      <c r="C15" s="27"/>
      <c r="F15" s="29">
        <f>C15</f>
        <v>0</v>
      </c>
      <c r="G15" s="18" t="str">
        <f t="shared" si="1"/>
        <v>'</v>
      </c>
      <c r="H15" s="450"/>
    </row>
    <row r="16" spans="1:9">
      <c r="A16" s="10" t="s">
        <v>468</v>
      </c>
      <c r="B16" s="8" t="str">
        <f>Language!A834</f>
        <v>Who is permitted to modify erroneous lab results?</v>
      </c>
      <c r="C16" s="27"/>
      <c r="F16" s="29">
        <f>C16</f>
        <v>0</v>
      </c>
      <c r="G16" s="18" t="str">
        <f>IF(F16=1,1,IF(F16=0,"'",0))</f>
        <v>'</v>
      </c>
      <c r="H16" s="449"/>
    </row>
    <row r="17" spans="1:11">
      <c r="A17" s="10"/>
      <c r="B17" s="465" t="str">
        <f>Language!A835</f>
        <v>1: Supervisors and/or persons with supervisory permission - 2: All microbiologists</v>
      </c>
    </row>
    <row r="18" spans="1:11">
      <c r="A18" s="10" t="s">
        <v>469</v>
      </c>
      <c r="B18" s="8" t="str">
        <f>Language!A836</f>
        <v>When corrections to patient results are made, what is done with the erroneous result?</v>
      </c>
      <c r="C18" s="27"/>
      <c r="F18" s="29">
        <f>C18</f>
        <v>0</v>
      </c>
      <c r="G18" s="18" t="str">
        <f>IF(F18=1,1,IF(F18=0,"'",0))</f>
        <v>'</v>
      </c>
      <c r="H18" s="450"/>
    </row>
    <row r="19" spans="1:11" ht="27.6" customHeight="1">
      <c r="A19" s="10"/>
      <c r="B19" s="465" t="str">
        <f>Language!A837</f>
        <v>1: Erroneous results remain in place but are amended to reflect that they are erroneous - 2: Erroneous results are deleted from the record - 3: Other(explain in comments)</v>
      </c>
    </row>
    <row r="20" spans="1:11" ht="16.2" thickBot="1">
      <c r="A20" s="16"/>
      <c r="B20" s="471"/>
      <c r="C20" s="235"/>
      <c r="D20" s="514"/>
      <c r="E20" s="201"/>
      <c r="F20" s="201"/>
      <c r="G20" s="201"/>
      <c r="H20" s="471"/>
      <c r="I20" s="22"/>
      <c r="K20" s="201"/>
    </row>
    <row r="21" spans="1:11" ht="16.2" thickBot="1">
      <c r="A21" s="166"/>
      <c r="B21" s="114" t="str">
        <f>Language!A838</f>
        <v>LABORATORY STAFF EDUCATION/TRAINING/COMPETENCY</v>
      </c>
      <c r="C21" s="81" t="str">
        <f>IF(COUNTBLANK(C22:C34)=13,"???",IF(COUNT(G22:G34)=0,"NA",AVERAGE(G22:G34)))</f>
        <v>???</v>
      </c>
      <c r="F21" s="29"/>
      <c r="G21" s="18"/>
      <c r="H21" s="446"/>
    </row>
    <row r="22" spans="1:11" ht="27.6" customHeight="1">
      <c r="A22" s="10" t="s">
        <v>470</v>
      </c>
      <c r="B22" s="59" t="str">
        <f>Language!A839</f>
        <v>Does at least 50% of the technical staff possess formal education in microbiology or medical laboratory science? (Refer to the figure in column D)</v>
      </c>
      <c r="C22" s="442"/>
      <c r="D22" s="108" t="e">
        <f>'General 0'!C136</f>
        <v>#DIV/0!</v>
      </c>
      <c r="F22" s="23">
        <f>C22</f>
        <v>0</v>
      </c>
      <c r="G22" s="18" t="str">
        <f t="shared" ref="G22:G25" si="2">IF(F22="Yes",1,IF(F22="No",0,"'"))</f>
        <v>'</v>
      </c>
      <c r="H22" s="451"/>
      <c r="I22" s="18" t="str">
        <f>IF(C22="No","System Flag","'")</f>
        <v>'</v>
      </c>
    </row>
    <row r="23" spans="1:11" ht="27.6" customHeight="1">
      <c r="A23" s="10" t="s">
        <v>471</v>
      </c>
      <c r="B23" s="8" t="str">
        <f>Language!A840</f>
        <v>Is the lab sufficiently staffed to provide high quality services? (Including support staff)</v>
      </c>
      <c r="C23" s="109"/>
      <c r="F23" s="29">
        <f>C23</f>
        <v>0</v>
      </c>
      <c r="G23" s="18" t="str">
        <f t="shared" si="2"/>
        <v>'</v>
      </c>
      <c r="H23" s="451"/>
      <c r="I23" s="18" t="str">
        <f>IF(C23="No","System Flag","'")</f>
        <v>'</v>
      </c>
    </row>
    <row r="24" spans="1:11">
      <c r="A24" s="10" t="s">
        <v>472</v>
      </c>
      <c r="B24" s="13" t="str">
        <f>Language!A841</f>
        <v>Does the lab have a standardized process for training new employees?</v>
      </c>
      <c r="C24" s="442"/>
      <c r="F24" s="23">
        <f>C24</f>
        <v>0</v>
      </c>
      <c r="G24" s="18" t="str">
        <f t="shared" si="2"/>
        <v>'</v>
      </c>
      <c r="H24" s="452"/>
      <c r="I24" s="196"/>
    </row>
    <row r="25" spans="1:11" ht="27.6" customHeight="1">
      <c r="A25" s="10" t="s">
        <v>473</v>
      </c>
      <c r="B25" s="8" t="str">
        <f>Language!A842</f>
        <v>Does the lab have up-to-date documentation showing which benches &amp; tests each staff member has been trained on and approved to work independently? (Review such records)</v>
      </c>
      <c r="C25" s="442"/>
      <c r="F25" s="23">
        <f>C25</f>
        <v>0</v>
      </c>
      <c r="G25" s="18" t="str">
        <f t="shared" si="2"/>
        <v>'</v>
      </c>
      <c r="H25" s="452"/>
      <c r="I25" s="196"/>
      <c r="K25" s="523"/>
    </row>
    <row r="26" spans="1:11" ht="41.4" customHeight="1">
      <c r="A26" s="10"/>
      <c r="B26" s="8" t="str">
        <f>Language!A843</f>
        <v>Do records demonstrate that lab staff receive annual competency assessments for each of the following? (Review competency records, select NA if not on lab's test menu)</v>
      </c>
      <c r="C26" s="103"/>
      <c r="D26" s="103"/>
      <c r="E26" s="103"/>
      <c r="F26" s="103"/>
      <c r="G26" s="103"/>
      <c r="H26" s="168"/>
      <c r="I26" s="196"/>
      <c r="K26" s="524"/>
    </row>
    <row r="27" spans="1:11">
      <c r="A27" s="10" t="s">
        <v>474</v>
      </c>
      <c r="B27" s="37" t="str">
        <f>Language!A844</f>
        <v>Blood culture</v>
      </c>
      <c r="C27" s="27"/>
      <c r="F27" s="29">
        <f t="shared" ref="F27:F34" si="3">C27</f>
        <v>0</v>
      </c>
      <c r="G27" s="18" t="str">
        <f t="shared" ref="G27:G33" si="4">IF(F27="Yes",1,IF(F27="No",0,"'"))</f>
        <v>'</v>
      </c>
      <c r="H27" s="450"/>
      <c r="I27" s="196"/>
    </row>
    <row r="28" spans="1:11">
      <c r="A28" s="10" t="s">
        <v>864</v>
      </c>
      <c r="B28" s="37" t="str">
        <f>Language!A845</f>
        <v>Urine culture</v>
      </c>
      <c r="C28" s="27"/>
      <c r="F28" s="29">
        <f t="shared" si="3"/>
        <v>0</v>
      </c>
      <c r="G28" s="18" t="str">
        <f t="shared" si="4"/>
        <v>'</v>
      </c>
      <c r="H28" s="450"/>
      <c r="I28" s="196"/>
    </row>
    <row r="29" spans="1:11">
      <c r="A29" s="10" t="s">
        <v>475</v>
      </c>
      <c r="B29" s="37" t="str">
        <f>Language!A846</f>
        <v>Stool culture</v>
      </c>
      <c r="C29" s="27"/>
      <c r="F29" s="29">
        <f t="shared" si="3"/>
        <v>0</v>
      </c>
      <c r="G29" s="18" t="str">
        <f t="shared" si="4"/>
        <v>'</v>
      </c>
      <c r="H29" s="450"/>
      <c r="I29" s="196"/>
    </row>
    <row r="30" spans="1:11">
      <c r="A30" s="10" t="s">
        <v>476</v>
      </c>
      <c r="B30" s="37" t="str">
        <f>Language!A847</f>
        <v>Respiratory culture (non-TB)</v>
      </c>
      <c r="C30" s="27"/>
      <c r="F30" s="29">
        <f t="shared" si="3"/>
        <v>0</v>
      </c>
      <c r="G30" s="18" t="str">
        <f t="shared" si="4"/>
        <v>'</v>
      </c>
      <c r="H30" s="450"/>
      <c r="I30" s="196"/>
    </row>
    <row r="31" spans="1:11">
      <c r="A31" s="10" t="s">
        <v>477</v>
      </c>
      <c r="B31" s="37" t="str">
        <f>Language!A848</f>
        <v>Wound culture</v>
      </c>
      <c r="C31" s="27"/>
      <c r="F31" s="29">
        <f t="shared" si="3"/>
        <v>0</v>
      </c>
      <c r="G31" s="18" t="str">
        <f t="shared" si="4"/>
        <v>'</v>
      </c>
      <c r="H31" s="450"/>
      <c r="I31" s="196"/>
    </row>
    <row r="32" spans="1:11">
      <c r="A32" s="10" t="s">
        <v>1074</v>
      </c>
      <c r="B32" s="110" t="str">
        <f>Language!A849</f>
        <v>Cerebrospinal Fluid Cultures</v>
      </c>
      <c r="C32" s="27"/>
      <c r="F32" s="29">
        <f t="shared" si="3"/>
        <v>0</v>
      </c>
      <c r="G32" s="18" t="str">
        <f t="shared" si="4"/>
        <v>'</v>
      </c>
      <c r="H32" s="450"/>
      <c r="I32" s="196"/>
    </row>
    <row r="33" spans="1:9">
      <c r="A33" s="10" t="s">
        <v>478</v>
      </c>
      <c r="B33" s="110" t="str">
        <f>Language!A850</f>
        <v>Sterile Body Fluid Cultures</v>
      </c>
      <c r="C33" s="27"/>
      <c r="F33" s="29">
        <f t="shared" si="3"/>
        <v>0</v>
      </c>
      <c r="G33" s="18" t="str">
        <f t="shared" si="4"/>
        <v>'</v>
      </c>
      <c r="H33" s="450"/>
      <c r="I33" s="196"/>
    </row>
    <row r="34" spans="1:9">
      <c r="A34" s="10" t="s">
        <v>479</v>
      </c>
      <c r="B34" s="37" t="str">
        <f>Language!A851</f>
        <v>Antibiotic Susceptibility Testing</v>
      </c>
      <c r="C34" s="27"/>
      <c r="F34" s="29">
        <f t="shared" si="3"/>
        <v>0</v>
      </c>
      <c r="G34" s="18" t="str">
        <f t="shared" ref="G34" si="5">IF(F34="Yes",1,IF(F34="No",0,"'"))</f>
        <v>'</v>
      </c>
      <c r="H34" s="450"/>
      <c r="I34" s="196"/>
    </row>
    <row r="35" spans="1:9" ht="54" customHeight="1" thickBot="1">
      <c r="A35" s="10"/>
      <c r="B35" s="640" t="str">
        <f>Language!A852</f>
        <v>Standard: Newly hired lab staff should be assessed for competency before performing independent duties and again within six months. All lab staff should be regularly assessed for testing competency at least once a year. Staff assigned to a new section should be assessed before fully assuming independent duties. When deficiencies are noted, retraining and reassessment should be planned and documented. If the employee’s competency remains below standard, further action might include supervisory review of work, re-assignment of duties, or other appropriate actions. Records of competency assessments and resulting actions should be retained in personnel files and/or quality records. Records should show which skills were assessed, how those skills were measured, and who performed the assessment.</v>
      </c>
      <c r="C35" s="641"/>
      <c r="D35" s="641"/>
      <c r="E35" s="641"/>
      <c r="F35" s="641"/>
      <c r="G35" s="641"/>
      <c r="H35" s="641"/>
      <c r="I35" s="196"/>
    </row>
    <row r="36" spans="1:9" ht="16.2" thickBot="1">
      <c r="A36" s="166"/>
      <c r="B36" s="114" t="str">
        <f>Language!A853</f>
        <v>TOUBLESHOOTING, PROBLEM SOLVING, AND ROOT CAUSE ANALYSES</v>
      </c>
      <c r="C36" s="81" t="str">
        <f>IF(COUNTBLANK(C37:C44)=8,"???",IF(COUNT(G37:G45)=0,"NA",AVERAGE(G37:G45)))</f>
        <v>???</v>
      </c>
      <c r="F36" s="29"/>
      <c r="G36" s="18"/>
      <c r="H36" s="446"/>
    </row>
    <row r="37" spans="1:9" ht="27.6" customHeight="1">
      <c r="A37" s="10" t="s">
        <v>865</v>
      </c>
      <c r="B37" s="20" t="str">
        <f>Language!A854</f>
        <v>Is a root cause analysis performed when unacceptable QC results are obtained? (Request to see a recent example)</v>
      </c>
      <c r="C37" s="442"/>
      <c r="D37" s="108"/>
      <c r="F37" s="23">
        <f>C37</f>
        <v>0</v>
      </c>
      <c r="G37" s="18" t="str">
        <f t="shared" ref="G37:G38" si="6">IF(F37="Yes",1,IF(F37="No",0,"'"))</f>
        <v>'</v>
      </c>
      <c r="H37" s="451"/>
      <c r="I37" s="196"/>
    </row>
    <row r="38" spans="1:9">
      <c r="A38" s="10" t="s">
        <v>1075</v>
      </c>
      <c r="B38" s="20" t="str">
        <f>Language!A855</f>
        <v>Is corrective action based on the findings of the root cause analysis documented?</v>
      </c>
      <c r="C38" s="109"/>
      <c r="F38" s="29">
        <f>C38</f>
        <v>0</v>
      </c>
      <c r="G38" s="18" t="str">
        <f t="shared" si="6"/>
        <v>'</v>
      </c>
      <c r="H38" s="450"/>
      <c r="I38" s="196"/>
    </row>
    <row r="39" spans="1:9" ht="27.6" customHeight="1">
      <c r="A39" s="10" t="s">
        <v>480</v>
      </c>
      <c r="B39" s="20" t="str">
        <f>Language!A856</f>
        <v>Is there evidence the supervisor or Quality Officer has received adequate training on how to perform root-cause analysis of QC failures?</v>
      </c>
      <c r="C39" s="109"/>
      <c r="F39" s="91" t="str">
        <f>IF(C39=1,"Yes",IF(C39=2,"Some",IF(C39=3,"No","0")))</f>
        <v>0</v>
      </c>
      <c r="G39" s="18" t="str">
        <f>IF(F39="Yes",1,IF(F39="Some",0.75,IF(F39="No",0,"'")))</f>
        <v>'</v>
      </c>
      <c r="H39" s="453"/>
      <c r="I39" s="194" t="str">
        <f>IF(F39="No","Training Opportunity",IF(F39="Some","Training Opportunity","'"))</f>
        <v>'</v>
      </c>
    </row>
    <row r="40" spans="1:9">
      <c r="A40" s="10"/>
      <c r="B40" s="465" t="str">
        <f>Language!A857</f>
        <v>1: Yes - 2: Some, but would like additional training - 3: No</v>
      </c>
      <c r="C40" s="103"/>
      <c r="D40" s="103"/>
      <c r="E40" s="103"/>
      <c r="F40" s="103"/>
      <c r="G40" s="103"/>
      <c r="H40" s="168"/>
      <c r="I40" s="196"/>
    </row>
    <row r="41" spans="1:9" ht="27.6" customHeight="1">
      <c r="A41" s="10" t="s">
        <v>1076</v>
      </c>
      <c r="B41" s="8" t="str">
        <f>Language!A858</f>
        <v>Are patient results reported if QC of media, ID method, or AST method was not performed?</v>
      </c>
      <c r="C41" s="109"/>
      <c r="F41" s="29">
        <f>C41</f>
        <v>0</v>
      </c>
      <c r="G41" s="18" t="str">
        <f>IF(F41="No",1,IF(F41="Yes",0,"'"))</f>
        <v>'</v>
      </c>
      <c r="H41" s="450"/>
      <c r="I41" s="18" t="str">
        <f>IF(C41="Yes","Red Flag","'")</f>
        <v>'</v>
      </c>
    </row>
    <row r="42" spans="1:9" ht="27.6" customHeight="1">
      <c r="A42" s="10" t="s">
        <v>1077</v>
      </c>
      <c r="B42" s="8" t="str">
        <f>Language!A859</f>
        <v>Are patient results reported if QC of media, ID method, or AST method failed to produce acceptable results?</v>
      </c>
      <c r="C42" s="109"/>
      <c r="F42" s="29">
        <f>C42</f>
        <v>0</v>
      </c>
      <c r="G42" s="18" t="str">
        <f>IF(F42="No",1,IF(F42="Yes",0,"'"))</f>
        <v>'</v>
      </c>
      <c r="H42" s="450"/>
      <c r="I42" s="18" t="str">
        <f>IF(C42="Yes","Red Flag","'")</f>
        <v>'</v>
      </c>
    </row>
    <row r="43" spans="1:9" ht="27.6" customHeight="1">
      <c r="A43" s="10" t="s">
        <v>481</v>
      </c>
      <c r="B43" s="8" t="str">
        <f>Language!A860</f>
        <v>Is there evidence that the lab troubleshoots unacceptable QC results for media, reagents, ID systems and AST methods?</v>
      </c>
      <c r="C43" s="109"/>
      <c r="F43" s="29">
        <f>C43</f>
        <v>0</v>
      </c>
      <c r="G43" s="18" t="str">
        <f t="shared" ref="G43:G44" si="7">IF(F43="Yes",1,IF(F43="No",0,"'"))</f>
        <v>'</v>
      </c>
      <c r="H43" s="450"/>
      <c r="I43" s="196"/>
    </row>
    <row r="44" spans="1:9" ht="27.6" customHeight="1">
      <c r="A44" s="10" t="s">
        <v>482</v>
      </c>
      <c r="B44" s="8" t="str">
        <f>Language!A861</f>
        <v xml:space="preserve">If automated instruments are used for ID, (e.g., Vitek, Phoenix, Microscan) is there user manual or SOP that describes how to troubleshoot instrument failures? </v>
      </c>
      <c r="C44" s="109"/>
      <c r="F44" s="29">
        <f>C44</f>
        <v>0</v>
      </c>
      <c r="G44" s="18" t="str">
        <f t="shared" si="7"/>
        <v>'</v>
      </c>
      <c r="H44" s="450"/>
    </row>
    <row r="45" spans="1:9" ht="16.2" thickBot="1">
      <c r="A45" s="10"/>
      <c r="B45" s="465" t="str">
        <f>Language!A862</f>
        <v>Check NA if lab does not use automated instrument</v>
      </c>
    </row>
    <row r="46" spans="1:9" ht="16.2" thickBot="1">
      <c r="A46" s="166"/>
      <c r="B46" s="87" t="str">
        <f>Language!A863</f>
        <v>EXTERNAL QUALITY ASSESSMENT (EQA)</v>
      </c>
      <c r="C46" s="395" t="str">
        <f>IF(COUNTBLANK(C47:C67)=21,"???",IF(COUNT(G47:G67)=0,"NA",AVERAGE(G47:G67)))</f>
        <v>???</v>
      </c>
      <c r="E46" s="525"/>
      <c r="F46" s="526"/>
      <c r="G46" s="527"/>
      <c r="H46" s="446"/>
    </row>
    <row r="47" spans="1:9" ht="41.4" customHeight="1">
      <c r="A47" s="10">
        <v>4.3099999999999996</v>
      </c>
      <c r="B47" s="8" t="str">
        <f>Language!A864</f>
        <v xml:space="preserve">How many times per year does the lab currently receive EQA/PT challenges that include both bacterial identification &amp; AST? (Please do not include challenges designed to focus on a single organism, e.g., TB or N. gonorrhoeae) </v>
      </c>
      <c r="C47" s="27"/>
      <c r="F47" s="29">
        <f>C47</f>
        <v>0</v>
      </c>
      <c r="G47" s="18" t="str">
        <f>IF(F47=3,1,IF(F47=2,0.75,IF(F47=1,0.5,IF(F47=4,0,"'"))))</f>
        <v>'</v>
      </c>
      <c r="H47" s="450"/>
      <c r="I47" s="18" t="str">
        <f>IF(C47=4,"System Flag","'")</f>
        <v>'</v>
      </c>
    </row>
    <row r="48" spans="1:9" ht="27.6" customHeight="1">
      <c r="A48" s="10"/>
      <c r="B48" s="465" t="str">
        <f>Language!A865</f>
        <v>1: One time per year; 2: Two times per year; 3: Three times per year or more; 4: Zero (if zero, please answer the next question, then skip to next section)</v>
      </c>
    </row>
    <row r="49" spans="1:9">
      <c r="A49" s="10">
        <v>4.32</v>
      </c>
      <c r="B49" s="8" t="str">
        <f>Language!A866</f>
        <v>If the lab does not participate in an EQA program, what is the reason? (Informational, not scored)</v>
      </c>
      <c r="C49" s="71"/>
      <c r="H49" s="450"/>
    </row>
    <row r="50" spans="1:9">
      <c r="A50" s="10">
        <v>4.33</v>
      </c>
      <c r="B50" s="8" t="str">
        <f>Language!A867</f>
        <v>Is the EQA/PT provider ISO-17043 accredited?</v>
      </c>
      <c r="C50" s="27"/>
      <c r="F50" s="29">
        <f>C50</f>
        <v>0</v>
      </c>
      <c r="G50" s="18" t="str">
        <f t="shared" ref="G50" si="8">IF(F50="Yes",1,IF(F50="No",0,"'"))</f>
        <v>'</v>
      </c>
      <c r="H50" s="454"/>
    </row>
    <row r="51" spans="1:9">
      <c r="A51" s="10"/>
      <c r="B51" s="57" t="str">
        <f>Language!A868</f>
        <v>Please list provider in comments</v>
      </c>
      <c r="D51" s="28"/>
      <c r="E51" s="28"/>
      <c r="G51" s="28"/>
    </row>
    <row r="52" spans="1:9" ht="27.6" customHeight="1">
      <c r="A52" s="77" t="s">
        <v>483</v>
      </c>
      <c r="B52" s="159" t="str">
        <f>Language!A869</f>
        <v>Are the test methods used on EQA isolates the same as the test methods used for routine patient isolates?</v>
      </c>
      <c r="C52" s="27"/>
      <c r="D52" s="28"/>
      <c r="E52" s="28"/>
      <c r="F52" s="29">
        <f t="shared" ref="F52:F57" si="9">C52</f>
        <v>0</v>
      </c>
      <c r="G52" s="18" t="str">
        <f t="shared" ref="G52" si="10">IF(F52="Yes",1,IF(F52="No",0,"'"))</f>
        <v>'</v>
      </c>
      <c r="H52" s="454"/>
    </row>
    <row r="53" spans="1:9" ht="27.6" customHeight="1">
      <c r="A53" s="77" t="s">
        <v>1847</v>
      </c>
      <c r="B53" s="159" t="str">
        <f>Language!A870</f>
        <v>Does the lab ever perform additional testing on an EQA isolate compared to what would be performed on a typical patient isolate?</v>
      </c>
      <c r="C53" s="27"/>
      <c r="D53" s="28"/>
      <c r="E53" s="28"/>
      <c r="F53" s="29">
        <f t="shared" si="9"/>
        <v>0</v>
      </c>
      <c r="G53" s="18" t="str">
        <f>IF(F53="Yes",0,IF(F53="No",1,"'"))</f>
        <v>'</v>
      </c>
      <c r="H53" s="454"/>
    </row>
    <row r="54" spans="1:9" ht="27.6" customHeight="1">
      <c r="A54" s="77" t="s">
        <v>1078</v>
      </c>
      <c r="B54" s="159" t="str">
        <f>Language!A871</f>
        <v>Does the lab ever send EQA isolates to another lab for confirmation before submitting results?</v>
      </c>
      <c r="C54" s="27"/>
      <c r="D54" s="28"/>
      <c r="E54" s="28"/>
      <c r="F54" s="29">
        <f t="shared" si="9"/>
        <v>0</v>
      </c>
      <c r="G54" s="18" t="str">
        <f t="shared" ref="G54:G55" si="11">IF(F54="Yes",0,IF(F54="No",1,"'"))</f>
        <v>'</v>
      </c>
      <c r="H54" s="454"/>
    </row>
    <row r="55" spans="1:9" ht="27.6" customHeight="1">
      <c r="A55" s="77" t="s">
        <v>484</v>
      </c>
      <c r="B55" s="159" t="str">
        <f>Language!A872</f>
        <v>Does the lab ever call another lab to ask what their EQA result was before submitting results?</v>
      </c>
      <c r="C55" s="27"/>
      <c r="D55" s="28"/>
      <c r="E55" s="28"/>
      <c r="F55" s="29">
        <f t="shared" si="9"/>
        <v>0</v>
      </c>
      <c r="G55" s="18" t="str">
        <f t="shared" si="11"/>
        <v>'</v>
      </c>
      <c r="H55" s="454"/>
    </row>
    <row r="56" spans="1:9" ht="27.6" customHeight="1">
      <c r="A56" s="77" t="s">
        <v>485</v>
      </c>
      <c r="B56" s="20" t="str">
        <f>Language!A873</f>
        <v>Are PT/EQA specimens tested by the same staff performing patient testing? (Look for evidence that all staff participate in the challenges, not only supervisors or senior staff)</v>
      </c>
      <c r="C56" s="27"/>
      <c r="F56" s="29">
        <f t="shared" si="9"/>
        <v>0</v>
      </c>
      <c r="G56" s="18" t="str">
        <f t="shared" ref="G56" si="12">IF(F56="Yes",1,IF(F56="No",0,"'"))</f>
        <v>'</v>
      </c>
      <c r="H56" s="450"/>
    </row>
    <row r="57" spans="1:9" ht="27.6" customHeight="1">
      <c r="A57" s="77" t="s">
        <v>486</v>
      </c>
      <c r="B57" s="20" t="str">
        <f>Language!A874</f>
        <v xml:space="preserve">On average, how long does the lab have to wait before receiving the results of their PT/EQA performance? </v>
      </c>
      <c r="C57" s="27"/>
      <c r="F57" s="29">
        <f t="shared" si="9"/>
        <v>0</v>
      </c>
      <c r="G57" s="18" t="str">
        <f>IF(F57=1,1,IF(F57=2,0.5,IF(F57=0,"'",0)))</f>
        <v>'</v>
      </c>
      <c r="H57" s="453"/>
      <c r="I57" s="183" t="str">
        <f>IF(F57=2,"System Flag",IF(F57=3,"System Flag","'"))</f>
        <v>'</v>
      </c>
    </row>
    <row r="58" spans="1:9">
      <c r="A58" s="10"/>
      <c r="B58" s="465" t="str">
        <f>Language!A875</f>
        <v>1: Less than 2 months; 2: 2 – 6 months; 3: More than 6 months; NA: no EQA</v>
      </c>
      <c r="C58" s="71"/>
      <c r="G58" s="28"/>
      <c r="H58" s="203"/>
    </row>
    <row r="59" spans="1:9" ht="27.6" customHeight="1">
      <c r="A59" s="77" t="s">
        <v>487</v>
      </c>
      <c r="B59" s="20" t="str">
        <f>Language!A876</f>
        <v xml:space="preserve">Review the 3 most recent EQA challenges for organism identification. On how many did the lab score &gt;80%? </v>
      </c>
      <c r="C59" s="27"/>
      <c r="F59" s="29">
        <f>C59</f>
        <v>0</v>
      </c>
      <c r="G59" s="18" t="str">
        <f>IF(F59=3,1,IF(F59=2,0.75,IF(F59=1,0.33,IF(F59="None",0,"'"))))</f>
        <v>'</v>
      </c>
      <c r="H59" s="450"/>
    </row>
    <row r="60" spans="1:9">
      <c r="A60" s="77"/>
      <c r="B60" s="465" t="str">
        <f>Language!A877</f>
        <v>If scores are not made available to review, select "None"</v>
      </c>
      <c r="C60" s="195"/>
      <c r="D60" s="195"/>
      <c r="E60" s="195"/>
      <c r="F60" s="195"/>
      <c r="G60" s="195"/>
      <c r="H60" s="263"/>
    </row>
    <row r="61" spans="1:9">
      <c r="A61" s="77" t="s">
        <v>488</v>
      </c>
      <c r="B61" s="20" t="str">
        <f>Language!A878</f>
        <v xml:space="preserve">Review the 3 most recent EQA challenges for AST. On how many did the lab score &gt;80%? </v>
      </c>
      <c r="C61" s="27"/>
      <c r="F61" s="29">
        <f>C61</f>
        <v>0</v>
      </c>
      <c r="G61" s="18" t="str">
        <f>IF(F61=3,1,IF(F61=2,0.75,IF(F61=1,0.33,IF(F61="None",0,"'"))))</f>
        <v>'</v>
      </c>
      <c r="H61" s="454"/>
    </row>
    <row r="62" spans="1:9">
      <c r="A62" s="77"/>
      <c r="B62" s="465" t="str">
        <f>Language!A879</f>
        <v>If scores are not made available to review, select "None"</v>
      </c>
      <c r="C62" s="195"/>
      <c r="D62" s="195"/>
      <c r="E62" s="195"/>
      <c r="F62" s="195"/>
      <c r="G62" s="195"/>
      <c r="H62" s="263"/>
    </row>
    <row r="63" spans="1:9" ht="27.6" customHeight="1">
      <c r="A63" s="77" t="s">
        <v>489</v>
      </c>
      <c r="B63" s="20" t="str">
        <f>Language!A880</f>
        <v>Is a root cause analysis performed when unacceptable PT/EQA results are obtained? (Request to see a recent example)</v>
      </c>
      <c r="C63" s="27"/>
      <c r="F63" s="29">
        <f>C63</f>
        <v>0</v>
      </c>
      <c r="G63" s="18" t="str">
        <f t="shared" ref="G63:G64" si="13">IF(F63="Yes",1,IF(F63="No",0,"'"))</f>
        <v>'</v>
      </c>
      <c r="H63" s="450"/>
    </row>
    <row r="64" spans="1:9">
      <c r="A64" s="77" t="s">
        <v>490</v>
      </c>
      <c r="B64" s="20" t="str">
        <f>Language!A881</f>
        <v>Is corrective action based on the findings of the root cause analysis documented?</v>
      </c>
      <c r="C64" s="27"/>
      <c r="F64" s="29">
        <f>C64</f>
        <v>0</v>
      </c>
      <c r="G64" s="18" t="str">
        <f t="shared" si="13"/>
        <v>'</v>
      </c>
      <c r="H64" s="450"/>
    </row>
    <row r="65" spans="1:10" ht="27.6" customHeight="1">
      <c r="A65" s="77" t="s">
        <v>491</v>
      </c>
      <c r="B65" s="20" t="str">
        <f>Language!A882</f>
        <v>Is there evidence the supervisor or Quality Officer has received adequate training on how to perform root-cause analysis for EQA failures?</v>
      </c>
      <c r="C65" s="46"/>
      <c r="F65" s="91" t="str">
        <f>IF(C65=1,"Yes",IF(C65=2,"Some",IF(C65=3,"No","0")))</f>
        <v>0</v>
      </c>
      <c r="G65" s="18" t="str">
        <f>IF(F65="Yes",1,IF(F65="Some",0.75,IF(F65="No",0,"'")))</f>
        <v>'</v>
      </c>
      <c r="H65" s="453"/>
      <c r="I65" s="194" t="str">
        <f>IF(F65="No","Training Opportunity",IF(F65="Some","Training Opportunity","'"))</f>
        <v>'</v>
      </c>
      <c r="J65" s="528"/>
    </row>
    <row r="66" spans="1:10">
      <c r="A66" s="10"/>
      <c r="B66" s="465" t="str">
        <f>Language!A883</f>
        <v>1: Yes - 2: Some, but would like additional training - 3: No</v>
      </c>
      <c r="C66" s="22"/>
      <c r="F66" s="22"/>
      <c r="H66" s="129"/>
    </row>
    <row r="67" spans="1:10" ht="27.6" customHeight="1">
      <c r="A67" s="77" t="s">
        <v>492</v>
      </c>
      <c r="B67" s="20" t="str">
        <f>Language!A884</f>
        <v xml:space="preserve">Is laboratory leadership notified of all unacceptable EQA results as soon as they are received? </v>
      </c>
      <c r="C67" s="27"/>
      <c r="F67" s="29">
        <f>C67</f>
        <v>0</v>
      </c>
      <c r="G67" s="18" t="str">
        <f t="shared" ref="G67" si="14">IF(F67="Yes",1,IF(F67="No",0,"'"))</f>
        <v>'</v>
      </c>
      <c r="H67" s="450"/>
    </row>
    <row r="69" spans="1:10">
      <c r="B69" s="121"/>
    </row>
  </sheetData>
  <sheetProtection algorithmName="SHA-256" hashValue="66totMVW+DSl20oAxrP+2HiYERUsMF+k2Vm1w8lkAQE=" saltValue="NCedLLHGam1QIKp2nSrbFg==" spinCount="100000" sheet="1" selectLockedCells="1"/>
  <mergeCells count="1">
    <mergeCell ref="B35:H35"/>
  </mergeCells>
  <phoneticPr fontId="46" type="noConversion"/>
  <conditionalFormatting sqref="G2 G21 G36">
    <cfRule type="cellIs" dxfId="1723" priority="1005" stopIfTrue="1" operator="lessThan">
      <formula>0.5</formula>
    </cfRule>
    <cfRule type="cellIs" dxfId="1722" priority="1006" stopIfTrue="1" operator="between">
      <formula>0.5</formula>
      <formula>0.75</formula>
    </cfRule>
    <cfRule type="cellIs" dxfId="1721" priority="1007" stopIfTrue="1" operator="greaterThan">
      <formula>0.75</formula>
    </cfRule>
  </conditionalFormatting>
  <conditionalFormatting sqref="G57">
    <cfRule type="cellIs" dxfId="1720" priority="795" stopIfTrue="1" operator="lessThan">
      <formula>0.5</formula>
    </cfRule>
    <cfRule type="cellIs" dxfId="1719" priority="796" stopIfTrue="1" operator="between">
      <formula>0.5</formula>
      <formula>0.75</formula>
    </cfRule>
    <cfRule type="cellIs" dxfId="1718" priority="797" stopIfTrue="1" operator="greaterThan">
      <formula>0.75</formula>
    </cfRule>
  </conditionalFormatting>
  <conditionalFormatting sqref="G66">
    <cfRule type="cellIs" dxfId="1717" priority="792" stopIfTrue="1" operator="lessThan">
      <formula>0.5</formula>
    </cfRule>
    <cfRule type="cellIs" dxfId="1716" priority="793" stopIfTrue="1" operator="between">
      <formula>0.5</formula>
      <formula>0.75</formula>
    </cfRule>
    <cfRule type="cellIs" dxfId="1715" priority="794" stopIfTrue="1" operator="greaterThan">
      <formula>0.75</formula>
    </cfRule>
  </conditionalFormatting>
  <conditionalFormatting sqref="G16">
    <cfRule type="cellIs" dxfId="1714" priority="435" stopIfTrue="1" operator="lessThan">
      <formula>0.5</formula>
    </cfRule>
    <cfRule type="cellIs" dxfId="1713" priority="436" stopIfTrue="1" operator="between">
      <formula>0.5</formula>
      <formula>0.75</formula>
    </cfRule>
    <cfRule type="cellIs" dxfId="1712" priority="437" stopIfTrue="1" operator="greaterThan">
      <formula>0.75</formula>
    </cfRule>
  </conditionalFormatting>
  <conditionalFormatting sqref="G18">
    <cfRule type="cellIs" dxfId="1711" priority="432" stopIfTrue="1" operator="lessThan">
      <formula>0.5</formula>
    </cfRule>
    <cfRule type="cellIs" dxfId="1710" priority="433" stopIfTrue="1" operator="between">
      <formula>0.5</formula>
      <formula>0.75</formula>
    </cfRule>
    <cfRule type="cellIs" dxfId="1709" priority="434" stopIfTrue="1" operator="greaterThan">
      <formula>0.75</formula>
    </cfRule>
  </conditionalFormatting>
  <conditionalFormatting sqref="G47">
    <cfRule type="cellIs" dxfId="1708" priority="429" stopIfTrue="1" operator="lessThan">
      <formula>0.5</formula>
    </cfRule>
    <cfRule type="cellIs" dxfId="1707" priority="430" stopIfTrue="1" operator="between">
      <formula>0.5</formula>
      <formula>0.75</formula>
    </cfRule>
    <cfRule type="cellIs" dxfId="1706" priority="431" stopIfTrue="1" operator="greaterThan">
      <formula>0.75</formula>
    </cfRule>
  </conditionalFormatting>
  <conditionalFormatting sqref="G59 G61">
    <cfRule type="cellIs" dxfId="1705" priority="423" stopIfTrue="1" operator="lessThan">
      <formula>0.5</formula>
    </cfRule>
    <cfRule type="cellIs" dxfId="1704" priority="424" stopIfTrue="1" operator="between">
      <formula>0.5</formula>
      <formula>0.75</formula>
    </cfRule>
    <cfRule type="cellIs" dxfId="1703" priority="425" stopIfTrue="1" operator="greaterThan">
      <formula>0.75</formula>
    </cfRule>
  </conditionalFormatting>
  <conditionalFormatting sqref="G66 G13 G9 G16:G19 G51 G11 G57:G59 G61 G21 G1:G2 G36 G46:G49 G68:G1048576">
    <cfRule type="containsText" dxfId="1702" priority="407" stopIfTrue="1" operator="containsText" text="RED FLAG">
      <formula>NOT(ISERROR(SEARCH("RED FLAG",G1)))</formula>
    </cfRule>
  </conditionalFormatting>
  <conditionalFormatting sqref="C46">
    <cfRule type="cellIs" dxfId="1701" priority="303" stopIfTrue="1" operator="greaterThanOrEqual">
      <formula>0.8</formula>
    </cfRule>
    <cfRule type="cellIs" dxfId="1700" priority="304" stopIfTrue="1" operator="between">
      <formula>0.5</formula>
      <formula>0.799</formula>
    </cfRule>
    <cfRule type="cellIs" dxfId="1699" priority="305" stopIfTrue="1" operator="lessThan">
      <formula>0.5</formula>
    </cfRule>
  </conditionalFormatting>
  <conditionalFormatting sqref="C2">
    <cfRule type="cellIs" dxfId="1698" priority="281" stopIfTrue="1" operator="greaterThanOrEqual">
      <formula>0.8</formula>
    </cfRule>
    <cfRule type="cellIs" dxfId="1697" priority="282" stopIfTrue="1" operator="between">
      <formula>0.5</formula>
      <formula>0.799</formula>
    </cfRule>
    <cfRule type="cellIs" dxfId="1696" priority="283" stopIfTrue="1" operator="lessThan">
      <formula>0.5</formula>
    </cfRule>
  </conditionalFormatting>
  <conditionalFormatting sqref="G12">
    <cfRule type="cellIs" dxfId="1695" priority="246" stopIfTrue="1" operator="lessThan">
      <formula>0.5</formula>
    </cfRule>
    <cfRule type="cellIs" dxfId="1694" priority="247" stopIfTrue="1" operator="between">
      <formula>0.5</formula>
      <formula>0.75</formula>
    </cfRule>
    <cfRule type="cellIs" dxfId="1693" priority="248" stopIfTrue="1" operator="greaterThan">
      <formula>0.75</formula>
    </cfRule>
  </conditionalFormatting>
  <conditionalFormatting sqref="G12">
    <cfRule type="containsText" dxfId="1692" priority="245" stopIfTrue="1" operator="containsText" text="RED FLAG">
      <formula>NOT(ISERROR(SEARCH("RED FLAG",G12)))</formula>
    </cfRule>
  </conditionalFormatting>
  <conditionalFormatting sqref="C21">
    <cfRule type="cellIs" dxfId="1691" priority="161" stopIfTrue="1" operator="greaterThanOrEqual">
      <formula>0.8</formula>
    </cfRule>
    <cfRule type="cellIs" dxfId="1690" priority="162" stopIfTrue="1" operator="between">
      <formula>0.5</formula>
      <formula>0.799</formula>
    </cfRule>
    <cfRule type="cellIs" dxfId="1689" priority="163" stopIfTrue="1" operator="lessThan">
      <formula>0.5</formula>
    </cfRule>
  </conditionalFormatting>
  <conditionalFormatting sqref="C36">
    <cfRule type="cellIs" dxfId="1688" priority="118" stopIfTrue="1" operator="greaterThanOrEqual">
      <formula>0.8</formula>
    </cfRule>
    <cfRule type="cellIs" dxfId="1687" priority="119" stopIfTrue="1" operator="between">
      <formula>0.5</formula>
      <formula>0.799</formula>
    </cfRule>
    <cfRule type="cellIs" dxfId="1686" priority="120" stopIfTrue="1" operator="lessThan">
      <formula>0.5</formula>
    </cfRule>
  </conditionalFormatting>
  <conditionalFormatting sqref="G41:G42">
    <cfRule type="cellIs" dxfId="1685" priority="105" stopIfTrue="1" operator="lessThan">
      <formula>0.5</formula>
    </cfRule>
    <cfRule type="cellIs" dxfId="1684" priority="106" stopIfTrue="1" operator="between">
      <formula>0.5</formula>
      <formula>0.75</formula>
    </cfRule>
    <cfRule type="cellIs" dxfId="1683" priority="107" stopIfTrue="1" operator="greaterThan">
      <formula>0.75</formula>
    </cfRule>
  </conditionalFormatting>
  <conditionalFormatting sqref="G42">
    <cfRule type="cellIs" dxfId="1682" priority="99" stopIfTrue="1" operator="lessThan">
      <formula>0.5</formula>
    </cfRule>
    <cfRule type="cellIs" dxfId="1681" priority="100" stopIfTrue="1" operator="between">
      <formula>0.5</formula>
      <formula>0.75</formula>
    </cfRule>
    <cfRule type="cellIs" dxfId="1680" priority="101" stopIfTrue="1" operator="greaterThan">
      <formula>0.75</formula>
    </cfRule>
  </conditionalFormatting>
  <conditionalFormatting sqref="G41:G42">
    <cfRule type="containsText" dxfId="1679" priority="98" stopIfTrue="1" operator="containsText" text="RED FLAG">
      <formula>NOT(ISERROR(SEARCH("RED FLAG",G41)))</formula>
    </cfRule>
  </conditionalFormatting>
  <conditionalFormatting sqref="G53:G55">
    <cfRule type="cellIs" dxfId="1678" priority="63" stopIfTrue="1" operator="lessThan">
      <formula>0.5</formula>
    </cfRule>
    <cfRule type="cellIs" dxfId="1677" priority="64" stopIfTrue="1" operator="between">
      <formula>0.5</formula>
      <formula>0.75</formula>
    </cfRule>
    <cfRule type="cellIs" dxfId="1676" priority="65" stopIfTrue="1" operator="greaterThan">
      <formula>0.75</formula>
    </cfRule>
  </conditionalFormatting>
  <conditionalFormatting sqref="G53:G55">
    <cfRule type="containsText" dxfId="1675" priority="62" stopIfTrue="1" operator="containsText" text="RED FLAG">
      <formula>NOT(ISERROR(SEARCH("RED FLAG",G53)))</formula>
    </cfRule>
  </conditionalFormatting>
  <conditionalFormatting sqref="I41:I42">
    <cfRule type="cellIs" dxfId="1674" priority="51" stopIfTrue="1" operator="lessThan">
      <formula>0.5</formula>
    </cfRule>
    <cfRule type="cellIs" dxfId="1673" priority="52" stopIfTrue="1" operator="between">
      <formula>0.5</formula>
      <formula>0.75</formula>
    </cfRule>
    <cfRule type="cellIs" dxfId="1672" priority="53" stopIfTrue="1" operator="greaterThan">
      <formula>0.75</formula>
    </cfRule>
  </conditionalFormatting>
  <conditionalFormatting sqref="I41:I42">
    <cfRule type="containsText" dxfId="1671" priority="50" stopIfTrue="1" operator="containsText" text="RED FLAG">
      <formula>NOT(ISERROR(SEARCH("RED FLAG",I41)))</formula>
    </cfRule>
  </conditionalFormatting>
  <conditionalFormatting sqref="I22:I23">
    <cfRule type="containsText" dxfId="1670" priority="45" operator="containsText" text="System Flag">
      <formula>NOT(ISERROR(SEARCH("System Flag",I22)))</formula>
    </cfRule>
  </conditionalFormatting>
  <conditionalFormatting sqref="I47">
    <cfRule type="containsText" dxfId="1669" priority="44" operator="containsText" text="System Flag">
      <formula>NOT(ISERROR(SEARCH("System Flag",I47)))</formula>
    </cfRule>
  </conditionalFormatting>
  <conditionalFormatting sqref="I65">
    <cfRule type="containsText" dxfId="1668" priority="42" operator="containsText" text="Training Opportunity">
      <formula>NOT(ISERROR(SEARCH("Training Opportunity",I65)))</formula>
    </cfRule>
  </conditionalFormatting>
  <conditionalFormatting sqref="I57">
    <cfRule type="containsText" dxfId="1667" priority="41" operator="containsText" text="System Flag">
      <formula>NOT(ISERROR(SEARCH("System Flag",I57)))</formula>
    </cfRule>
  </conditionalFormatting>
  <conditionalFormatting sqref="I12">
    <cfRule type="containsText" dxfId="1666" priority="40" operator="containsText" text="Training Opportunity">
      <formula>NOT(ISERROR(SEARCH("Training Opportunity",I12)))</formula>
    </cfRule>
  </conditionalFormatting>
  <conditionalFormatting sqref="G7">
    <cfRule type="containsText" dxfId="1665" priority="39" stopIfTrue="1" operator="containsText" text="RED FLAG">
      <formula>NOT(ISERROR(SEARCH("RED FLAG",G7)))</formula>
    </cfRule>
  </conditionalFormatting>
  <conditionalFormatting sqref="G6">
    <cfRule type="cellIs" dxfId="1664" priority="36" stopIfTrue="1" operator="lessThan">
      <formula>0.5</formula>
    </cfRule>
    <cfRule type="cellIs" dxfId="1663" priority="37" stopIfTrue="1" operator="between">
      <formula>0.5</formula>
      <formula>0.75</formula>
    </cfRule>
    <cfRule type="cellIs" dxfId="1662" priority="38" stopIfTrue="1" operator="greaterThan">
      <formula>0.75</formula>
    </cfRule>
  </conditionalFormatting>
  <conditionalFormatting sqref="G6">
    <cfRule type="containsText" dxfId="1661" priority="35" stopIfTrue="1" operator="containsText" text="RED FLAG">
      <formula>NOT(ISERROR(SEARCH("RED FLAG",G6)))</formula>
    </cfRule>
  </conditionalFormatting>
  <conditionalFormatting sqref="I6">
    <cfRule type="containsText" dxfId="1660" priority="34" operator="containsText" text="Training Opportunity">
      <formula>NOT(ISERROR(SEARCH("Training Opportunity",I6)))</formula>
    </cfRule>
  </conditionalFormatting>
  <conditionalFormatting sqref="G65 G39">
    <cfRule type="cellIs" dxfId="1659" priority="31" stopIfTrue="1" operator="lessThan">
      <formula>0.5</formula>
    </cfRule>
    <cfRule type="cellIs" dxfId="1658" priority="32" stopIfTrue="1" operator="between">
      <formula>0.5</formula>
      <formula>0.75</formula>
    </cfRule>
    <cfRule type="cellIs" dxfId="1657" priority="33" stopIfTrue="1" operator="greaterThan">
      <formula>0.75</formula>
    </cfRule>
  </conditionalFormatting>
  <conditionalFormatting sqref="G65 G39">
    <cfRule type="containsText" dxfId="1656" priority="30" stopIfTrue="1" operator="containsText" text="RED FLAG">
      <formula>NOT(ISERROR(SEARCH("RED FLAG",G39)))</formula>
    </cfRule>
  </conditionalFormatting>
  <conditionalFormatting sqref="G3:G5">
    <cfRule type="cellIs" dxfId="1655" priority="27" stopIfTrue="1" operator="lessThan">
      <formula>0.5</formula>
    </cfRule>
    <cfRule type="cellIs" dxfId="1654" priority="28" stopIfTrue="1" operator="between">
      <formula>0.5</formula>
      <formula>0.75</formula>
    </cfRule>
    <cfRule type="cellIs" dxfId="1653" priority="29" stopIfTrue="1" operator="greaterThan">
      <formula>0.75</formula>
    </cfRule>
  </conditionalFormatting>
  <conditionalFormatting sqref="G3:G5">
    <cfRule type="containsText" dxfId="1652" priority="26" stopIfTrue="1" operator="containsText" text="RED FLAG">
      <formula>NOT(ISERROR(SEARCH("RED FLAG",G3)))</formula>
    </cfRule>
  </conditionalFormatting>
  <conditionalFormatting sqref="G67 G63:G64 G56 G52 G50 G43:G44 G37:G38 G22:G25 G14:G15 G27:G34">
    <cfRule type="cellIs" dxfId="1651" priority="23" stopIfTrue="1" operator="lessThan">
      <formula>0.5</formula>
    </cfRule>
    <cfRule type="cellIs" dxfId="1650" priority="24" stopIfTrue="1" operator="between">
      <formula>0.5</formula>
      <formula>0.75</formula>
    </cfRule>
    <cfRule type="cellIs" dxfId="1649" priority="25" stopIfTrue="1" operator="greaterThan">
      <formula>0.75</formula>
    </cfRule>
  </conditionalFormatting>
  <conditionalFormatting sqref="G67 G63:G64 G56 G52 G50 G43:G44 G37:G38 G22:G25 G14:G15 G27:G34">
    <cfRule type="containsText" dxfId="1648" priority="22" stopIfTrue="1" operator="containsText" text="RED FLAG">
      <formula>NOT(ISERROR(SEARCH("RED FLAG",G14)))</formula>
    </cfRule>
  </conditionalFormatting>
  <conditionalFormatting sqref="G8">
    <cfRule type="cellIs" dxfId="1647" priority="19" stopIfTrue="1" operator="lessThan">
      <formula>0.5</formula>
    </cfRule>
    <cfRule type="cellIs" dxfId="1646" priority="20" stopIfTrue="1" operator="between">
      <formula>0.5</formula>
      <formula>0.75</formula>
    </cfRule>
    <cfRule type="cellIs" dxfId="1645" priority="21" stopIfTrue="1" operator="greaterThan">
      <formula>0.75</formula>
    </cfRule>
  </conditionalFormatting>
  <conditionalFormatting sqref="G8">
    <cfRule type="containsText" dxfId="1644" priority="18" stopIfTrue="1" operator="containsText" text="RED FLAG">
      <formula>NOT(ISERROR(SEARCH("RED FLAG",G8)))</formula>
    </cfRule>
  </conditionalFormatting>
  <conditionalFormatting sqref="G8">
    <cfRule type="cellIs" dxfId="1643" priority="15" stopIfTrue="1" operator="lessThan">
      <formula>0.5</formula>
    </cfRule>
    <cfRule type="cellIs" dxfId="1642" priority="16" stopIfTrue="1" operator="between">
      <formula>0.5</formula>
      <formula>0.75</formula>
    </cfRule>
    <cfRule type="cellIs" dxfId="1641" priority="17" stopIfTrue="1" operator="greaterThan">
      <formula>0.75</formula>
    </cfRule>
  </conditionalFormatting>
  <conditionalFormatting sqref="G8">
    <cfRule type="cellIs" dxfId="1640" priority="12" stopIfTrue="1" operator="lessThan">
      <formula>0.5</formula>
    </cfRule>
    <cfRule type="cellIs" dxfId="1639" priority="13" stopIfTrue="1" operator="between">
      <formula>0.5</formula>
      <formula>0.75</formula>
    </cfRule>
    <cfRule type="cellIs" dxfId="1638" priority="14" stopIfTrue="1" operator="greaterThan">
      <formula>0.75</formula>
    </cfRule>
  </conditionalFormatting>
  <conditionalFormatting sqref="G10">
    <cfRule type="cellIs" dxfId="1637" priority="9" stopIfTrue="1" operator="lessThan">
      <formula>0.5</formula>
    </cfRule>
    <cfRule type="cellIs" dxfId="1636" priority="10" stopIfTrue="1" operator="between">
      <formula>0.5</formula>
      <formula>0.75</formula>
    </cfRule>
    <cfRule type="cellIs" dxfId="1635" priority="11" stopIfTrue="1" operator="greaterThan">
      <formula>0.75</formula>
    </cfRule>
  </conditionalFormatting>
  <conditionalFormatting sqref="G10">
    <cfRule type="containsText" dxfId="1634" priority="8" stopIfTrue="1" operator="containsText" text="RED FLAG">
      <formula>NOT(ISERROR(SEARCH("RED FLAG",G10)))</formula>
    </cfRule>
  </conditionalFormatting>
  <conditionalFormatting sqref="G10">
    <cfRule type="cellIs" dxfId="1633" priority="5" stopIfTrue="1" operator="lessThan">
      <formula>0.5</formula>
    </cfRule>
    <cfRule type="cellIs" dxfId="1632" priority="6" stopIfTrue="1" operator="between">
      <formula>0.5</formula>
      <formula>0.75</formula>
    </cfRule>
    <cfRule type="cellIs" dxfId="1631" priority="7" stopIfTrue="1" operator="greaterThan">
      <formula>0.75</formula>
    </cfRule>
  </conditionalFormatting>
  <conditionalFormatting sqref="G10">
    <cfRule type="cellIs" dxfId="1630" priority="2" stopIfTrue="1" operator="lessThan">
      <formula>0.5</formula>
    </cfRule>
    <cfRule type="cellIs" dxfId="1629" priority="3" stopIfTrue="1" operator="between">
      <formula>0.5</formula>
      <formula>0.75</formula>
    </cfRule>
    <cfRule type="cellIs" dxfId="1628" priority="4" stopIfTrue="1" operator="greaterThan">
      <formula>0.75</formula>
    </cfRule>
  </conditionalFormatting>
  <conditionalFormatting sqref="I39">
    <cfRule type="containsText" dxfId="1627" priority="1" operator="containsText" text="Training Opportunity">
      <formula>NOT(ISERROR(SEARCH("Training Opportunity",I39)))</formula>
    </cfRule>
  </conditionalFormatting>
  <dataValidations count="7">
    <dataValidation type="list" allowBlank="1" showInputMessage="1" showErrorMessage="1" sqref="C59 C61" xr:uid="{00000000-0002-0000-0800-000000000000}">
      <formula1>"None,1,2,3"</formula1>
    </dataValidation>
    <dataValidation type="list" allowBlank="1" showInputMessage="1" showErrorMessage="1" sqref="C8 C47" xr:uid="{00000000-0002-0000-0800-000001000000}">
      <formula1>"1,2,3,4"</formula1>
    </dataValidation>
    <dataValidation type="list" allowBlank="1" showInputMessage="1" showErrorMessage="1" sqref="C10 C39 C65 C18 C12 C6" xr:uid="{00000000-0002-0000-0800-000002000000}">
      <formula1>"1,2,3"</formula1>
    </dataValidation>
    <dataValidation type="list" allowBlank="1" showInputMessage="1" showErrorMessage="1" sqref="C14:C15 C50 C37:C38 C63:C64 C67 C22:C25 C52:C56 C3:C5 C41:C43" xr:uid="{00000000-0002-0000-0800-000003000000}">
      <formula1>"Yes,No"</formula1>
    </dataValidation>
    <dataValidation type="list" allowBlank="1" showInputMessage="1" showErrorMessage="1" sqref="C57" xr:uid="{00000000-0002-0000-0800-000004000000}">
      <formula1>"1,2,3,NA"</formula1>
    </dataValidation>
    <dataValidation type="list" allowBlank="1" showInputMessage="1" showErrorMessage="1" sqref="C16" xr:uid="{00000000-0002-0000-0800-000005000000}">
      <formula1>"1,2"</formula1>
    </dataValidation>
    <dataValidation type="list" allowBlank="1" showInputMessage="1" showErrorMessage="1" sqref="C27:C34 C44" xr:uid="{00000000-0002-0000-0800-000006000000}">
      <formula1>"Yes,No,NA"</formula1>
    </dataValidation>
  </dataValidations>
  <pageMargins left="0.25" right="0.25" top="0.75000000000000011" bottom="0.75000000000000011" header="0.30000000000000004" footer="0.30000000000000004"/>
  <pageSetup paperSize="9" scale="94" fitToHeight="3" orientation="landscape" r:id="rId1"/>
  <headerFooter>
    <oddFooter>&amp;C&amp;A -&amp;P</oddFooter>
  </headerFooter>
  <rowBreaks count="2" manualBreakCount="2">
    <brk id="25" max="7" man="1"/>
    <brk id="45" max="4" man="1"/>
  </rowBreaks>
  <extLst>
    <ext xmlns:x14="http://schemas.microsoft.com/office/spreadsheetml/2009/9/main" uri="{78C0D931-6437-407d-A8EE-F0AAD7539E65}">
      <x14:conditionalFormattings>
        <x14:conditionalFormatting xmlns:xm="http://schemas.microsoft.com/office/excel/2006/main">
          <x14:cfRule type="containsText" priority="94" stopIfTrue="1" operator="containsText" text="RED FLAG" id="{797EB4E3-901F-4BB2-B2CF-62FF73E25CE9}">
            <xm:f>NOT(ISERROR(SEARCH("RED FLAG",'ID QC 6'!G57)))</xm:f>
            <x14:dxf>
              <font>
                <color rgb="FF9C0006"/>
              </font>
              <fill>
                <patternFill>
                  <bgColor rgb="FFFFC7CE"/>
                </patternFill>
              </fill>
            </x14:dxf>
          </x14:cfRule>
          <xm:sqref>G45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70C0"/>
    <pageSetUpPr fitToPage="1"/>
  </sheetPr>
  <dimension ref="A1:K87"/>
  <sheetViews>
    <sheetView zoomScaleNormal="100" zoomScaleSheetLayoutView="100" zoomScalePageLayoutView="80" workbookViewId="0">
      <selection activeCell="C4" sqref="C4"/>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3.69921875" style="22" hidden="1" customWidth="1"/>
    <col min="6" max="6" width="5.19921875" style="28" hidden="1" customWidth="1"/>
    <col min="7" max="7" width="5.19921875" style="22" customWidth="1"/>
    <col min="8" max="8" width="37.69921875" style="72" customWidth="1"/>
    <col min="9" max="9" width="9.69921875" style="22" customWidth="1"/>
    <col min="10" max="10" width="11" style="201"/>
    <col min="11" max="16384" width="11" style="22"/>
  </cols>
  <sheetData>
    <row r="1" spans="1:11">
      <c r="A1" s="10"/>
      <c r="B1" s="43" t="str">
        <f>Language!A885</f>
        <v>5- MEDIA PREPARATION AND QUALITY CONTROL</v>
      </c>
      <c r="C1" s="52" t="str">
        <f>IF(COUNT(G4:G97)=0,"???",AVERAGE(G4:G97))</f>
        <v>???</v>
      </c>
      <c r="H1" s="199" t="str">
        <f>'Facility 1'!H1</f>
        <v>Comments</v>
      </c>
    </row>
    <row r="2" spans="1:11" ht="16.2" thickBot="1">
      <c r="A2" s="16"/>
      <c r="B2" s="471"/>
      <c r="C2" s="235"/>
      <c r="D2" s="514"/>
      <c r="E2" s="201"/>
      <c r="F2" s="201"/>
      <c r="G2" s="201"/>
      <c r="H2" s="471"/>
      <c r="K2" s="201"/>
    </row>
    <row r="3" spans="1:11" ht="16.2" thickBot="1">
      <c r="A3" s="166"/>
      <c r="B3" s="84" t="str">
        <f>Language!A886</f>
        <v>MEDIA PREPARATION SOPs</v>
      </c>
      <c r="C3" s="73" t="str">
        <f>IF(COUNTBLANK(C4:C17)=14,"???",IF(COUNT(G4:G17)=0,"NA",AVERAGE(G4:G17)))</f>
        <v>???</v>
      </c>
      <c r="F3" s="29"/>
      <c r="G3" s="18"/>
      <c r="H3" s="446"/>
    </row>
    <row r="4" spans="1:11">
      <c r="A4" s="10" t="s">
        <v>493</v>
      </c>
      <c r="B4" s="20" t="str">
        <f>Language!A887</f>
        <v xml:space="preserve">Are  media-specific SOPs in place for each type of media reconstituted in house? </v>
      </c>
      <c r="C4" s="27"/>
      <c r="F4" s="29">
        <f>C4</f>
        <v>0</v>
      </c>
      <c r="G4" s="18" t="str">
        <f t="shared" ref="G4:G17" si="0">IF(F4="Yes",1,IF(F4="No",0,"'"))</f>
        <v>'</v>
      </c>
      <c r="H4" s="450"/>
      <c r="I4" s="529"/>
    </row>
    <row r="5" spans="1:11">
      <c r="A5" s="10"/>
      <c r="B5" s="8" t="str">
        <f>Language!A888</f>
        <v>Do all media preparation records including the following?</v>
      </c>
      <c r="C5" s="22"/>
      <c r="F5" s="22"/>
      <c r="H5" s="64"/>
      <c r="I5" s="64"/>
    </row>
    <row r="6" spans="1:11">
      <c r="A6" s="10" t="s">
        <v>494</v>
      </c>
      <c r="B6" s="37" t="str">
        <f>Language!A889</f>
        <v>Name of media</v>
      </c>
      <c r="C6" s="27"/>
      <c r="F6" s="29">
        <f t="shared" ref="F6:F12" si="1">C6</f>
        <v>0</v>
      </c>
      <c r="G6" s="18" t="str">
        <f t="shared" si="0"/>
        <v>'</v>
      </c>
      <c r="H6" s="450"/>
    </row>
    <row r="7" spans="1:11">
      <c r="A7" s="10" t="s">
        <v>495</v>
      </c>
      <c r="B7" s="37" t="str">
        <f>Language!A890</f>
        <v>Date of preparation</v>
      </c>
      <c r="C7" s="27"/>
      <c r="F7" s="29">
        <f t="shared" si="1"/>
        <v>0</v>
      </c>
      <c r="G7" s="18" t="str">
        <f t="shared" si="0"/>
        <v>'</v>
      </c>
      <c r="H7" s="450"/>
    </row>
    <row r="8" spans="1:11">
      <c r="A8" s="10" t="s">
        <v>496</v>
      </c>
      <c r="B8" s="37" t="str">
        <f>Language!A891</f>
        <v>Batch number</v>
      </c>
      <c r="C8" s="27"/>
      <c r="F8" s="29">
        <f t="shared" si="1"/>
        <v>0</v>
      </c>
      <c r="G8" s="18" t="str">
        <f t="shared" si="0"/>
        <v>'</v>
      </c>
      <c r="H8" s="450"/>
    </row>
    <row r="9" spans="1:11">
      <c r="A9" s="10" t="s">
        <v>497</v>
      </c>
      <c r="B9" s="37" t="str">
        <f>Language!A892</f>
        <v>Quantity made</v>
      </c>
      <c r="C9" s="27"/>
      <c r="F9" s="29">
        <f t="shared" si="1"/>
        <v>0</v>
      </c>
      <c r="G9" s="18" t="str">
        <f t="shared" si="0"/>
        <v>'</v>
      </c>
      <c r="H9" s="450"/>
    </row>
    <row r="10" spans="1:11">
      <c r="A10" s="10" t="s">
        <v>498</v>
      </c>
      <c r="B10" s="37" t="str">
        <f>Language!A893</f>
        <v>pH</v>
      </c>
      <c r="C10" s="27"/>
      <c r="F10" s="29">
        <f t="shared" si="1"/>
        <v>0</v>
      </c>
      <c r="G10" s="18" t="str">
        <f t="shared" si="0"/>
        <v>'</v>
      </c>
      <c r="H10" s="454"/>
    </row>
    <row r="11" spans="1:11">
      <c r="A11" s="10" t="s">
        <v>499</v>
      </c>
      <c r="B11" s="37" t="str">
        <f>Language!A894</f>
        <v>Name of preparer</v>
      </c>
      <c r="C11" s="27"/>
      <c r="F11" s="29">
        <f t="shared" si="1"/>
        <v>0</v>
      </c>
      <c r="G11" s="18" t="str">
        <f t="shared" si="0"/>
        <v>'</v>
      </c>
      <c r="H11" s="450"/>
    </row>
    <row r="12" spans="1:11">
      <c r="A12" s="10" t="s">
        <v>500</v>
      </c>
      <c r="B12" s="37" t="str">
        <f>Language!A895</f>
        <v>Expiration Date</v>
      </c>
      <c r="C12" s="27"/>
      <c r="F12" s="29">
        <f t="shared" si="1"/>
        <v>0</v>
      </c>
      <c r="G12" s="18" t="str">
        <f t="shared" si="0"/>
        <v>'</v>
      </c>
      <c r="H12" s="450"/>
    </row>
    <row r="13" spans="1:11" ht="27.6" customHeight="1">
      <c r="A13" s="10"/>
      <c r="B13" s="8" t="str">
        <f>Language!A896</f>
        <v>Observe the media reconstituted in house, is each batch clearly labeled with the following?</v>
      </c>
      <c r="C13" s="22"/>
      <c r="F13" s="22"/>
    </row>
    <row r="14" spans="1:11">
      <c r="A14" s="10" t="s">
        <v>501</v>
      </c>
      <c r="B14" s="37" t="str">
        <f>Language!A897</f>
        <v>Name of media</v>
      </c>
      <c r="C14" s="27"/>
      <c r="F14" s="29">
        <f>C14</f>
        <v>0</v>
      </c>
      <c r="G14" s="18" t="str">
        <f t="shared" si="0"/>
        <v>'</v>
      </c>
      <c r="H14" s="450"/>
    </row>
    <row r="15" spans="1:11">
      <c r="A15" s="10" t="s">
        <v>793</v>
      </c>
      <c r="B15" s="55" t="str">
        <f>Language!A898</f>
        <v>Date of preparation</v>
      </c>
      <c r="C15" s="27"/>
      <c r="F15" s="29">
        <f>C15</f>
        <v>0</v>
      </c>
      <c r="G15" s="18" t="str">
        <f t="shared" si="0"/>
        <v>'</v>
      </c>
      <c r="H15" s="450"/>
    </row>
    <row r="16" spans="1:11">
      <c r="A16" s="10" t="s">
        <v>502</v>
      </c>
      <c r="B16" s="37" t="str">
        <f>Language!A899</f>
        <v>Expiration date</v>
      </c>
      <c r="C16" s="27"/>
      <c r="F16" s="29">
        <f>C16</f>
        <v>0</v>
      </c>
      <c r="G16" s="18" t="str">
        <f t="shared" si="0"/>
        <v>'</v>
      </c>
      <c r="H16" s="450"/>
    </row>
    <row r="17" spans="1:10" ht="16.2" thickBot="1">
      <c r="A17" s="10" t="s">
        <v>503</v>
      </c>
      <c r="B17" s="37" t="str">
        <f>Language!A900</f>
        <v>Date opened</v>
      </c>
      <c r="C17" s="27"/>
      <c r="F17" s="29">
        <f>C17</f>
        <v>0</v>
      </c>
      <c r="G17" s="18" t="str">
        <f t="shared" si="0"/>
        <v>'</v>
      </c>
      <c r="H17" s="450"/>
    </row>
    <row r="18" spans="1:10" ht="16.2" thickBot="1">
      <c r="A18" s="166"/>
      <c r="B18" s="84" t="str">
        <f>Language!A901</f>
        <v xml:space="preserve">GENERAL MEDIA PREPARATION </v>
      </c>
      <c r="C18" s="73" t="str">
        <f>IF(COUNTBLANK(C19:C29)=11,"???",IF(COUNT(G19:G29)=0,"NA",AVERAGE(G19:G29)))</f>
        <v>???</v>
      </c>
      <c r="F18" s="64"/>
      <c r="G18" s="18"/>
      <c r="H18" s="446"/>
    </row>
    <row r="19" spans="1:10" ht="27.6" customHeight="1">
      <c r="A19" s="77" t="s">
        <v>504</v>
      </c>
      <c r="B19" s="72" t="str">
        <f>Language!A902</f>
        <v>Is media prepared in a separate room, apart from the room where specimens and cultures are processed?</v>
      </c>
      <c r="C19" s="456"/>
      <c r="F19" s="23">
        <f t="shared" ref="F19:F25" si="2">C19</f>
        <v>0</v>
      </c>
      <c r="G19" s="18" t="str">
        <f t="shared" ref="G19:G24" si="3">IF(F19="Yes",1,IF(F19="No",0,"'"))</f>
        <v>'</v>
      </c>
      <c r="H19" s="455"/>
    </row>
    <row r="20" spans="1:10">
      <c r="A20" s="77" t="s">
        <v>505</v>
      </c>
      <c r="B20" s="72" t="str">
        <f>Language!A903</f>
        <v>Is media prepared in a clean room?</v>
      </c>
      <c r="C20" s="456"/>
      <c r="F20" s="23">
        <f t="shared" si="2"/>
        <v>0</v>
      </c>
      <c r="G20" s="18" t="str">
        <f t="shared" si="3"/>
        <v>'</v>
      </c>
      <c r="H20" s="455"/>
    </row>
    <row r="21" spans="1:10">
      <c r="A21" s="77" t="s">
        <v>506</v>
      </c>
      <c r="B21" s="8" t="str">
        <f>Language!A904</f>
        <v>Is deionized water (DI) or distilled water used to prepare all media?</v>
      </c>
      <c r="C21" s="456"/>
      <c r="F21" s="23">
        <f t="shared" si="2"/>
        <v>0</v>
      </c>
      <c r="G21" s="18" t="str">
        <f t="shared" si="3"/>
        <v>'</v>
      </c>
      <c r="H21" s="455"/>
      <c r="I21" s="64"/>
    </row>
    <row r="22" spans="1:10">
      <c r="A22" s="77" t="s">
        <v>507</v>
      </c>
      <c r="B22" s="8" t="str">
        <f>Language!A905</f>
        <v>Are the media suspensions mixed with a magnetic stir bar while boiling?</v>
      </c>
      <c r="C22" s="456"/>
      <c r="F22" s="23">
        <f t="shared" si="2"/>
        <v>0</v>
      </c>
      <c r="G22" s="18" t="str">
        <f t="shared" si="3"/>
        <v>'</v>
      </c>
      <c r="H22" s="448"/>
    </row>
    <row r="23" spans="1:10">
      <c r="A23" s="77" t="s">
        <v>1848</v>
      </c>
      <c r="B23" s="13" t="str">
        <f>Language!A906</f>
        <v>Is the dissolved suspension autoclaved in a clean autoclave at 15 psi, 121°C, for &gt;15 minutes?</v>
      </c>
      <c r="C23" s="456"/>
      <c r="F23" s="23">
        <f t="shared" si="2"/>
        <v>0</v>
      </c>
      <c r="G23" s="18" t="str">
        <f t="shared" si="3"/>
        <v>'</v>
      </c>
      <c r="H23" s="448"/>
    </row>
    <row r="24" spans="1:10" ht="27.6" customHeight="1">
      <c r="A24" s="77" t="s">
        <v>1849</v>
      </c>
      <c r="B24" s="8" t="str">
        <f>Language!A907</f>
        <v>Is the autoclaved suspension cooled to 45-50°C before adding additional compounds (e.g., blood)?</v>
      </c>
      <c r="C24" s="456"/>
      <c r="F24" s="23">
        <f t="shared" si="2"/>
        <v>0</v>
      </c>
      <c r="G24" s="18" t="str">
        <f t="shared" si="3"/>
        <v>'</v>
      </c>
      <c r="H24" s="448"/>
    </row>
    <row r="25" spans="1:10">
      <c r="A25" s="77" t="s">
        <v>508</v>
      </c>
      <c r="B25" s="13" t="str">
        <f>Language!A908</f>
        <v>What is the source of the blood used to make the blood agar, chocolate, and/or MHB plates?</v>
      </c>
      <c r="C25" s="46"/>
      <c r="F25" s="29">
        <f t="shared" si="2"/>
        <v>0</v>
      </c>
      <c r="G25" s="18" t="str">
        <f>IF(F25=1,1,IF(F25=2,0,IF(F25=3,0,"'")))</f>
        <v>'</v>
      </c>
      <c r="H25" s="449"/>
      <c r="I25" s="516"/>
      <c r="J25" s="516"/>
    </row>
    <row r="26" spans="1:10" ht="27.6" customHeight="1">
      <c r="A26" s="10"/>
      <c r="B26" s="465" t="str">
        <f>Language!A909</f>
        <v xml:space="preserve">1: Sheep’s blood - 2: Human blood (e.g., from expired packed cells) - 3: Other source (please describe in comments) </v>
      </c>
      <c r="F26" s="91"/>
      <c r="H26" s="182"/>
    </row>
    <row r="27" spans="1:10">
      <c r="A27" s="77" t="s">
        <v>799</v>
      </c>
      <c r="B27" s="8" t="str">
        <f>Language!A910</f>
        <v xml:space="preserve">Is the pH recorded for all media prepared in house? </v>
      </c>
      <c r="C27" s="456"/>
      <c r="F27" s="29">
        <f>C27</f>
        <v>0</v>
      </c>
      <c r="G27" s="18" t="str">
        <f t="shared" ref="G27:G29" si="4">IF(F27="Yes",1,IF(F27="No",0,"'"))</f>
        <v>'</v>
      </c>
      <c r="H27" s="448"/>
    </row>
    <row r="28" spans="1:10">
      <c r="A28" s="77" t="s">
        <v>1850</v>
      </c>
      <c r="B28" s="8" t="str">
        <f>Language!A911</f>
        <v>Is all prepared media stored at 2-8°C until use?</v>
      </c>
      <c r="C28" s="46"/>
      <c r="F28" s="29">
        <f>C28</f>
        <v>0</v>
      </c>
      <c r="G28" s="18" t="str">
        <f t="shared" si="4"/>
        <v>'</v>
      </c>
      <c r="H28" s="449"/>
    </row>
    <row r="29" spans="1:10" ht="16.2" thickBot="1">
      <c r="A29" s="77" t="s">
        <v>800</v>
      </c>
      <c r="B29" s="20" t="str">
        <f>Language!A912</f>
        <v>Are plates stored inside bags/sleeves to avoid dehydration?</v>
      </c>
      <c r="C29" s="46"/>
      <c r="F29" s="29">
        <f>C29</f>
        <v>0</v>
      </c>
      <c r="G29" s="18" t="str">
        <f t="shared" si="4"/>
        <v>'</v>
      </c>
      <c r="H29" s="449"/>
    </row>
    <row r="30" spans="1:10" ht="16.2" thickBot="1">
      <c r="A30" s="166"/>
      <c r="B30" s="84" t="str">
        <f>Language!A913</f>
        <v xml:space="preserve">DISTILLED/DEIONIZED WATER PREPARATION </v>
      </c>
      <c r="C30" s="73" t="str">
        <f>IF(COUNTBLANK(C32:C35)=4,"???",IF(COUNT(G32:G35)=0,"NA",AVERAGE(G32:G35)))</f>
        <v>???</v>
      </c>
      <c r="F30" s="29"/>
      <c r="G30" s="18"/>
      <c r="H30" s="446"/>
    </row>
    <row r="31" spans="1:10" ht="27.6" customHeight="1">
      <c r="A31" s="10"/>
      <c r="B31" s="20" t="str">
        <f>Language!A914</f>
        <v xml:space="preserve">If the lab or facility produces it's own distilled or deionized water, are QC records present for the following? </v>
      </c>
      <c r="C31" s="22"/>
      <c r="F31" s="29"/>
      <c r="G31" s="18"/>
      <c r="H31" s="528"/>
      <c r="I31" s="64"/>
    </row>
    <row r="32" spans="1:10">
      <c r="A32" s="77" t="s">
        <v>801</v>
      </c>
      <c r="B32" s="184" t="str">
        <f>Language!A915</f>
        <v>Conductimetry</v>
      </c>
      <c r="C32" s="442"/>
      <c r="F32" s="29">
        <f>C32</f>
        <v>0</v>
      </c>
      <c r="G32" s="18" t="str">
        <f t="shared" ref="G32:G35" si="5">IF(F32="Yes",1,IF(F32="No",0,"'"))</f>
        <v>'</v>
      </c>
      <c r="H32" s="455"/>
    </row>
    <row r="33" spans="1:10">
      <c r="A33" s="77" t="s">
        <v>1079</v>
      </c>
      <c r="B33" s="184" t="str">
        <f>Language!A916</f>
        <v>pH</v>
      </c>
      <c r="C33" s="442"/>
      <c r="F33" s="29">
        <f>C33</f>
        <v>0</v>
      </c>
      <c r="G33" s="18" t="str">
        <f t="shared" si="5"/>
        <v>'</v>
      </c>
      <c r="H33" s="455"/>
    </row>
    <row r="34" spans="1:10">
      <c r="A34" s="77" t="s">
        <v>1080</v>
      </c>
      <c r="B34" s="184" t="str">
        <f>Language!A917</f>
        <v>Sterility</v>
      </c>
      <c r="C34" s="442"/>
      <c r="F34" s="29">
        <f>C34</f>
        <v>0</v>
      </c>
      <c r="G34" s="18" t="str">
        <f t="shared" si="5"/>
        <v>'</v>
      </c>
      <c r="H34" s="455"/>
    </row>
    <row r="35" spans="1:10" ht="27.6" customHeight="1" thickBot="1">
      <c r="A35" s="77" t="s">
        <v>1851</v>
      </c>
      <c r="B35" s="20" t="str">
        <f>Language!A918</f>
        <v xml:space="preserve">If the lab purchases distilled or deionized water, does it come with a Certificate of Analysis demonstrating proper pH, sterility and conductimetry? </v>
      </c>
      <c r="C35" s="442"/>
      <c r="F35" s="29">
        <f>C35</f>
        <v>0</v>
      </c>
      <c r="G35" s="18" t="str">
        <f t="shared" si="5"/>
        <v>'</v>
      </c>
      <c r="H35" s="455"/>
      <c r="I35" s="64"/>
    </row>
    <row r="36" spans="1:10" ht="16.2" thickBot="1">
      <c r="A36" s="166"/>
      <c r="B36" s="84" t="str">
        <f>Language!A919</f>
        <v>ROUTINE MEDIA QC</v>
      </c>
      <c r="C36" s="73" t="str">
        <f>IF(COUNTBLANK(C37:C48)=12,"???",IF(COUNT(G37:G48)=0,"NA",AVERAGE(G37:G48)))</f>
        <v>???</v>
      </c>
      <c r="H36" s="446"/>
    </row>
    <row r="37" spans="1:10" ht="27.6" customHeight="1">
      <c r="A37" s="77" t="s">
        <v>1852</v>
      </c>
      <c r="B37" s="8" t="str">
        <f>Language!A920</f>
        <v xml:space="preserve">Are new batches of media checked for sterility by incubating a portion of un-inoculated plates? </v>
      </c>
      <c r="C37" s="27"/>
      <c r="F37" s="29">
        <f>C37</f>
        <v>0</v>
      </c>
      <c r="G37" s="18" t="str">
        <f t="shared" ref="G37" si="6">IF(F37="Yes",1,IF(F37="No",0,"'"))</f>
        <v>'</v>
      </c>
      <c r="H37" s="450"/>
    </row>
    <row r="38" spans="1:10">
      <c r="A38" s="77" t="s">
        <v>1853</v>
      </c>
      <c r="B38" s="8" t="str">
        <f>Language!A921</f>
        <v>Are media quality controlled by using ATCC or ATCC-derivative strains?</v>
      </c>
      <c r="C38" s="27"/>
      <c r="F38" s="29">
        <f>C38</f>
        <v>0</v>
      </c>
      <c r="G38" s="18" t="str">
        <f>IF(F38=1,1,IF(F38=2,0.5,IF(F38=3,0,"'")))</f>
        <v>'</v>
      </c>
      <c r="H38" s="450"/>
    </row>
    <row r="39" spans="1:10">
      <c r="A39" s="10"/>
      <c r="B39" s="465" t="str">
        <f>Language!A922</f>
        <v>1: All - 2: Some - 3: None</v>
      </c>
      <c r="C39" s="22"/>
    </row>
    <row r="40" spans="1:10" ht="27.6" customHeight="1">
      <c r="A40" s="77" t="s">
        <v>1081</v>
      </c>
      <c r="B40" s="8" t="str">
        <f>Language!A923</f>
        <v xml:space="preserve">Do records demonstrate that QC is performed on each newly reconstituted batch or newly received lot number/shipment of media? </v>
      </c>
      <c r="C40" s="27"/>
      <c r="F40" s="29">
        <f t="shared" ref="F40:F48" si="7">C40</f>
        <v>0</v>
      </c>
      <c r="G40" s="18" t="str">
        <f t="shared" ref="G40:G48" si="8">IF(F40="Yes",1,IF(F40="No",0,"'"))</f>
        <v>'</v>
      </c>
      <c r="H40" s="450"/>
      <c r="J40" s="516"/>
    </row>
    <row r="41" spans="1:10" ht="27.6" customHeight="1">
      <c r="A41" s="77" t="s">
        <v>1082</v>
      </c>
      <c r="B41" s="8" t="str">
        <f>Language!A924</f>
        <v xml:space="preserve">Do QC records for blood agar plates (BAP) demonstrate that they are checked for their ability to support growth of fastidious organisms such as Streptococcus pneumoniae? </v>
      </c>
      <c r="C41" s="27"/>
      <c r="F41" s="29">
        <f t="shared" si="7"/>
        <v>0</v>
      </c>
      <c r="G41" s="18" t="str">
        <f t="shared" si="8"/>
        <v>'</v>
      </c>
      <c r="H41" s="450"/>
      <c r="J41" s="516"/>
    </row>
    <row r="42" spans="1:10" ht="27.6" customHeight="1">
      <c r="A42" s="77" t="s">
        <v>1083</v>
      </c>
      <c r="B42" s="20" t="str">
        <f>Language!A925</f>
        <v xml:space="preserve">Do QC records for BAP demonstrate that they are checked for their ability to show alpha, beta, and gamma hemolysis? </v>
      </c>
      <c r="C42" s="27"/>
      <c r="F42" s="29">
        <f t="shared" si="7"/>
        <v>0</v>
      </c>
      <c r="G42" s="18" t="str">
        <f t="shared" si="8"/>
        <v>'</v>
      </c>
      <c r="H42" s="450"/>
      <c r="J42" s="516"/>
    </row>
    <row r="43" spans="1:10" ht="27.6" customHeight="1">
      <c r="A43" s="77" t="s">
        <v>1084</v>
      </c>
      <c r="B43" s="20" t="str">
        <f>Language!A926</f>
        <v>Do QC records for chocolate agar plates demonstrate that they are checked for their ability to support the growth of fastidious organisms, such as Neisseria gonorrhoeae or H. influenzae?</v>
      </c>
      <c r="C43" s="27"/>
      <c r="F43" s="29">
        <f t="shared" si="7"/>
        <v>0</v>
      </c>
      <c r="G43" s="18" t="str">
        <f t="shared" si="8"/>
        <v>'</v>
      </c>
      <c r="H43" s="450"/>
      <c r="J43" s="516"/>
    </row>
    <row r="44" spans="1:10" ht="55.2" customHeight="1">
      <c r="A44" s="77" t="s">
        <v>1085</v>
      </c>
      <c r="B44" s="20" t="str">
        <f>Language!A927</f>
        <v>MacConkey (MAC) and Eosin methylene blue (EMB) agars contain bile salts and/or dyes that are toxic for gram-positive bacteria when made properly. Do QC records for MAC and/or EMB plates demonstrate that each batch/lot is challenged using a gram-positive organism?</v>
      </c>
      <c r="C44" s="27"/>
      <c r="F44" s="29">
        <f t="shared" si="7"/>
        <v>0</v>
      </c>
      <c r="G44" s="18" t="str">
        <f t="shared" si="8"/>
        <v>'</v>
      </c>
      <c r="H44" s="450"/>
      <c r="J44" s="516"/>
    </row>
    <row r="45" spans="1:10" ht="55.2" customHeight="1">
      <c r="A45" s="77" t="s">
        <v>1086</v>
      </c>
      <c r="B45" s="20" t="str">
        <f>Language!A928</f>
        <v>Dyes and pH indicators in MAC and EMB plates provide a color indicator to distinguish between lactose fermenting (LF) and non-lactose fermenting (NLF) gram-negative organisms. Do QC records for MAC and/or EMB plates demonstrate that each batch/lot is challenged using both LF and NLF organisms?</v>
      </c>
      <c r="C45" s="27"/>
      <c r="F45" s="29">
        <f t="shared" si="7"/>
        <v>0</v>
      </c>
      <c r="G45" s="18" t="str">
        <f t="shared" si="8"/>
        <v>'</v>
      </c>
      <c r="H45" s="450"/>
      <c r="J45" s="516"/>
    </row>
    <row r="46" spans="1:10" ht="27.6" customHeight="1">
      <c r="A46" s="77" t="s">
        <v>1087</v>
      </c>
      <c r="B46" s="20" t="str">
        <f>Language!A929</f>
        <v>Do QC records for selective stool agar plates (e.g. XLD, SS, HE) demonstrate that they are checked for their ability to suppress the growth of Gram positive organisms?</v>
      </c>
      <c r="C46" s="27"/>
      <c r="F46" s="29">
        <f t="shared" si="7"/>
        <v>0</v>
      </c>
      <c r="G46" s="18" t="str">
        <f t="shared" si="8"/>
        <v>'</v>
      </c>
      <c r="H46" s="450"/>
      <c r="J46" s="516"/>
    </row>
    <row r="47" spans="1:10" ht="41.4" customHeight="1">
      <c r="A47" s="77" t="s">
        <v>1088</v>
      </c>
      <c r="B47" s="20" t="str">
        <f>Language!A930</f>
        <v>Do QC records for selective stool agar plates demonstrate that they are checked for their ability to make hydrogen sulfide (H2S) production visible using a H2S producing organism, such as Salmonella spp or Proteus vulgaris?</v>
      </c>
      <c r="C47" s="27"/>
      <c r="F47" s="29">
        <f t="shared" si="7"/>
        <v>0</v>
      </c>
      <c r="G47" s="18" t="str">
        <f t="shared" si="8"/>
        <v>'</v>
      </c>
      <c r="H47" s="450"/>
      <c r="J47" s="516"/>
    </row>
    <row r="48" spans="1:10" ht="41.4" customHeight="1">
      <c r="A48" s="77" t="s">
        <v>1089</v>
      </c>
      <c r="B48" s="20" t="str">
        <f>Language!A931</f>
        <v>Do QC records for selective stool agar plates demonstrate that they are checked for their ability to make the acid byproducts of carbohydrate fermentation visible using both fermenters and nonfermenters?</v>
      </c>
      <c r="C48" s="27"/>
      <c r="F48" s="29">
        <f t="shared" si="7"/>
        <v>0</v>
      </c>
      <c r="G48" s="18" t="str">
        <f t="shared" si="8"/>
        <v>'</v>
      </c>
      <c r="H48" s="450"/>
      <c r="J48" s="516"/>
    </row>
    <row r="49" spans="1:10" ht="27.6" customHeight="1">
      <c r="A49" s="10"/>
      <c r="B49" s="645" t="str">
        <f>Language!A932</f>
        <v>Standard: CAP MIC.21300; SANAS TG 28-02: 6.1 The suitable performance of culture media, diluents, and other suspensions prepared in-house should be checked, where relevant, with regard to recovery or survival maintenance of target organisms, inhibition or suppression of non-target organisms, biochemical (differential and diagnostic) properties, physical properties (e.g. pH, volume, and sterility).</v>
      </c>
      <c r="C49" s="646"/>
      <c r="D49" s="646"/>
      <c r="E49" s="646"/>
      <c r="F49" s="646"/>
      <c r="G49" s="646"/>
      <c r="H49" s="646"/>
      <c r="I49" s="13"/>
    </row>
    <row r="50" spans="1:10" ht="16.2" thickBot="1">
      <c r="A50" s="10"/>
      <c r="B50" s="48"/>
      <c r="C50" s="22"/>
      <c r="F50" s="29"/>
      <c r="G50" s="18"/>
    </row>
    <row r="51" spans="1:10" ht="16.2" thickBot="1">
      <c r="A51" s="166"/>
      <c r="B51" s="84" t="str">
        <f>Language!A933</f>
        <v>MULLER HINTON MEDIA PREPARATION AND QC</v>
      </c>
      <c r="C51" s="73" t="str">
        <f>IF(COUNTBLANK(C53:C65)=13,"???",IF(COUNT(G53:G65)=0,"NA",AVERAGE(G53:G65)))</f>
        <v>???</v>
      </c>
      <c r="F51" s="29"/>
      <c r="G51" s="18"/>
      <c r="H51" s="446"/>
    </row>
    <row r="52" spans="1:10">
      <c r="A52" s="10"/>
      <c r="B52" s="8" t="str">
        <f>Language!A934</f>
        <v>Examine the lab’s Mueller Hinton plates and SOP for the following:</v>
      </c>
      <c r="C52" s="22"/>
      <c r="F52" s="22"/>
    </row>
    <row r="53" spans="1:10" ht="27.6" customHeight="1">
      <c r="A53" s="77" t="s">
        <v>1090</v>
      </c>
      <c r="B53" s="37" t="str">
        <f>Language!A935</f>
        <v>Does the dehydrated Mueller Hinton Agar (dHMA) meet ISO 16782 (CLSI M6) standards? (Low thymine/thymidine content, not supplemented with Mg++ or Ca++ cations)</v>
      </c>
      <c r="C53" s="27"/>
      <c r="F53" s="29">
        <f t="shared" ref="F53:F61" si="9">C53</f>
        <v>0</v>
      </c>
      <c r="G53" s="18" t="str">
        <f t="shared" ref="G53" si="10">IF(F53="Yes",1,IF(F53="No",0,"'"))</f>
        <v>'</v>
      </c>
      <c r="H53" s="449"/>
    </row>
    <row r="54" spans="1:10">
      <c r="A54" s="77" t="s">
        <v>1091</v>
      </c>
      <c r="B54" s="37" t="str">
        <f>Language!A936</f>
        <v>Does the lab add calcium or magnesium cations to dMHA?</v>
      </c>
      <c r="C54" s="27"/>
      <c r="F54" s="29">
        <f t="shared" si="9"/>
        <v>0</v>
      </c>
      <c r="G54" s="18" t="str">
        <f>IF(F54="No",1,IF(F54="Yes",0,"'"))</f>
        <v>'</v>
      </c>
      <c r="H54" s="450"/>
    </row>
    <row r="55" spans="1:10" ht="27.6" customHeight="1">
      <c r="A55" s="77" t="s">
        <v>1092</v>
      </c>
      <c r="B55" s="37" t="str">
        <f>Language!A937</f>
        <v>Immediately after autoclaving, is agar allowed to cool in a 45° - 50°C water bath?</v>
      </c>
      <c r="C55" s="27"/>
      <c r="F55" s="29">
        <f t="shared" si="9"/>
        <v>0</v>
      </c>
      <c r="G55" s="18" t="str">
        <f t="shared" ref="G55:G61" si="11">IF(F55="Yes",1,IF(F55="No",0,"'"))</f>
        <v>'</v>
      </c>
      <c r="H55" s="450"/>
    </row>
    <row r="56" spans="1:10" ht="27.6" customHeight="1">
      <c r="A56" s="77" t="s">
        <v>1093</v>
      </c>
      <c r="B56" s="37" t="str">
        <f>Language!A938</f>
        <v>Do plates have a uniform depth of approximately 4mm? Verify by examining a recent batch.</v>
      </c>
      <c r="C56" s="27"/>
      <c r="F56" s="29">
        <f t="shared" si="9"/>
        <v>0</v>
      </c>
      <c r="G56" s="18" t="str">
        <f t="shared" si="11"/>
        <v>'</v>
      </c>
      <c r="H56" s="449"/>
    </row>
    <row r="57" spans="1:10">
      <c r="A57" s="77" t="s">
        <v>1094</v>
      </c>
      <c r="B57" s="37" t="str">
        <f>Language!A939</f>
        <v>Are plates poured on a level surface?</v>
      </c>
      <c r="C57" s="27"/>
      <c r="F57" s="29">
        <f t="shared" si="9"/>
        <v>0</v>
      </c>
      <c r="G57" s="18" t="str">
        <f t="shared" si="11"/>
        <v>'</v>
      </c>
      <c r="H57" s="449"/>
    </row>
    <row r="58" spans="1:10">
      <c r="A58" s="77" t="s">
        <v>1095</v>
      </c>
      <c r="B58" s="37" t="str">
        <f>Language!A940</f>
        <v>Do records demonstrate that pH is 7.2 – 7.4 for each batch?</v>
      </c>
      <c r="C58" s="27"/>
      <c r="F58" s="29">
        <f t="shared" si="9"/>
        <v>0</v>
      </c>
      <c r="G58" s="18" t="str">
        <f t="shared" si="11"/>
        <v>'</v>
      </c>
      <c r="H58" s="449"/>
    </row>
    <row r="59" spans="1:10" ht="27.6" customHeight="1">
      <c r="A59" s="77" t="s">
        <v>1096</v>
      </c>
      <c r="B59" s="37" t="str">
        <f>Language!A941</f>
        <v>Do records indicate that sterility is checked for each batch? (By incubating a portion of un-inoculated plates, ideally 5%)</v>
      </c>
      <c r="C59" s="27"/>
      <c r="F59" s="29">
        <f t="shared" si="9"/>
        <v>0</v>
      </c>
      <c r="G59" s="18" t="str">
        <f t="shared" si="11"/>
        <v>'</v>
      </c>
      <c r="H59" s="449"/>
    </row>
    <row r="60" spans="1:10">
      <c r="A60" s="77" t="s">
        <v>1097</v>
      </c>
      <c r="B60" s="37" t="str">
        <f>Language!A942</f>
        <v>Are plates stored at 2-8°C until use?</v>
      </c>
      <c r="C60" s="27"/>
      <c r="F60" s="29">
        <f t="shared" si="9"/>
        <v>0</v>
      </c>
      <c r="G60" s="18" t="str">
        <f t="shared" si="11"/>
        <v>'</v>
      </c>
      <c r="H60" s="449"/>
    </row>
    <row r="61" spans="1:10">
      <c r="A61" s="77" t="s">
        <v>1098</v>
      </c>
      <c r="B61" s="37" t="str">
        <f>Language!A943</f>
        <v>Are plates stored inside bags/sleeves to avoid dehydration?</v>
      </c>
      <c r="C61" s="27"/>
      <c r="F61" s="29">
        <f t="shared" si="9"/>
        <v>0</v>
      </c>
      <c r="G61" s="18" t="str">
        <f t="shared" si="11"/>
        <v>'</v>
      </c>
      <c r="H61" s="449"/>
    </row>
    <row r="62" spans="1:10" ht="27.6" customHeight="1">
      <c r="A62" s="10"/>
      <c r="B62" s="20" t="str">
        <f>Language!A944</f>
        <v>Do QC records indicate that each batch of Mueller Hinton agar is checked for its ability to produce expected zone sizes using the following ATCC reference strains and antibiotics?</v>
      </c>
      <c r="C62" s="22"/>
      <c r="F62" s="22"/>
    </row>
    <row r="63" spans="1:10">
      <c r="A63" s="77" t="s">
        <v>1099</v>
      </c>
      <c r="B63" s="37" t="str">
        <f>Language!A945</f>
        <v>Pseudomonas aeruginosa 27853 and gentamicin disk</v>
      </c>
      <c r="C63" s="27"/>
      <c r="F63" s="29">
        <f>C63</f>
        <v>0</v>
      </c>
      <c r="G63" s="243" t="str">
        <f>IF(F63="Yes",1,IF(F63="No",0,"'"))</f>
        <v>'</v>
      </c>
      <c r="H63" s="454"/>
      <c r="J63" s="516"/>
    </row>
    <row r="64" spans="1:10">
      <c r="A64" s="77" t="s">
        <v>1100</v>
      </c>
      <c r="B64" s="37" t="str">
        <f>Language!A946</f>
        <v>Enterococcus faecalis 29212 or 33186 and trimethoprim-sulfamethoxazole disk</v>
      </c>
      <c r="C64" s="27"/>
      <c r="F64" s="29">
        <f>C64</f>
        <v>0</v>
      </c>
      <c r="G64" s="18" t="str">
        <f t="shared" ref="G64:G65" si="12">IF(F64="Yes",1,IF(F64="No",0,"'"))</f>
        <v>'</v>
      </c>
      <c r="H64" s="454"/>
      <c r="J64" s="516"/>
    </row>
    <row r="65" spans="1:10" ht="41.4" customHeight="1">
      <c r="A65" s="77" t="s">
        <v>1101</v>
      </c>
      <c r="B65" s="20" t="str">
        <f>Language!A947</f>
        <v>Do QC records indicate that each batch of Mueller Hinton Blood agar is checked for its ability to produce expected zone sizes using Streptococcus pneumoniae ATCC 49619 (or equivalent)?</v>
      </c>
      <c r="C65" s="27"/>
      <c r="F65" s="29">
        <f>C65</f>
        <v>0</v>
      </c>
      <c r="G65" s="18" t="str">
        <f t="shared" si="12"/>
        <v>'</v>
      </c>
      <c r="H65" s="450"/>
    </row>
    <row r="66" spans="1:10">
      <c r="A66" s="10"/>
      <c r="B66" s="51" t="str">
        <f>Language!A948</f>
        <v>Check NA if the lab does not use MHB</v>
      </c>
    </row>
    <row r="67" spans="1:10" ht="16.2" thickBot="1">
      <c r="A67" s="10"/>
    </row>
    <row r="68" spans="1:10" ht="16.2" thickBot="1">
      <c r="A68" s="166"/>
      <c r="B68" s="84" t="str">
        <f>Language!A949</f>
        <v>BLOOD CULTURE BOTTLES PREPARATION AND QC</v>
      </c>
      <c r="C68" s="73" t="str">
        <f>IF(COUNTBLANK(C69:C90)=22,"???",IF(F69="Yes",AVERAGE(G70:G90),"NA"))</f>
        <v>???</v>
      </c>
      <c r="F68" s="29"/>
      <c r="G68" s="18"/>
      <c r="H68" s="446"/>
    </row>
    <row r="69" spans="1:10">
      <c r="A69" s="77" t="s">
        <v>1102</v>
      </c>
      <c r="B69" s="8" t="str">
        <f>Language!A950</f>
        <v>Does the lab prepare blood culture bottles in-house?</v>
      </c>
      <c r="C69" s="109"/>
      <c r="F69" s="29">
        <f>C69</f>
        <v>0</v>
      </c>
      <c r="G69" s="18"/>
      <c r="H69" s="454"/>
      <c r="J69" s="516"/>
    </row>
    <row r="70" spans="1:10">
      <c r="A70" s="77"/>
      <c r="B70" s="465" t="str">
        <f>Language!A951</f>
        <v>If no, answer NA to remaining questions</v>
      </c>
      <c r="C70" s="29"/>
      <c r="D70" s="29"/>
      <c r="E70" s="29"/>
      <c r="F70" s="29"/>
      <c r="G70" s="18"/>
      <c r="H70" s="29"/>
    </row>
    <row r="71" spans="1:10" ht="27.6" customHeight="1">
      <c r="A71" s="77">
        <v>5.51</v>
      </c>
      <c r="B71" s="129" t="str">
        <f>Language!A952</f>
        <v xml:space="preserve">Which base broth is used? (Broth must support growth of a wide range of bacterial species) </v>
      </c>
      <c r="C71" s="442"/>
      <c r="F71" s="29">
        <f>C71</f>
        <v>0</v>
      </c>
      <c r="G71" s="18" t="str">
        <f>IF(F71=8,0,IF(F71=0,"'",IF(F71="NA","'",1)))</f>
        <v>'</v>
      </c>
      <c r="H71" s="454"/>
      <c r="I71" s="18"/>
    </row>
    <row r="72" spans="1:10" ht="27.6" customHeight="1">
      <c r="A72" s="77"/>
      <c r="B72" s="69" t="str">
        <f>Language!A953</f>
        <v>1-Brain Heart Infusion, 2-Supplemented peptone, 3-Soybean-casein digest (tryptic soy), 4-Thioglycolate, 5-Thiol, 6-Colombia, 7-Brucella, 8-Other, NA</v>
      </c>
      <c r="C72" s="29"/>
      <c r="D72" s="29"/>
      <c r="E72" s="29"/>
      <c r="F72" s="29"/>
      <c r="G72" s="18"/>
      <c r="H72" s="29"/>
    </row>
    <row r="73" spans="1:10">
      <c r="A73" s="77">
        <v>5.52</v>
      </c>
      <c r="B73" s="129" t="str">
        <f>Language!A954</f>
        <v>Is sodium polyanethole sulfonate (SPS) added? (an anticoagulant and growth stabilizer)</v>
      </c>
      <c r="C73" s="109"/>
      <c r="F73" s="29">
        <f>C73</f>
        <v>0</v>
      </c>
      <c r="G73" s="18" t="str">
        <f t="shared" ref="G73" si="13">IF(F73="Yes",1,IF(F73="No",0,"'"))</f>
        <v>'</v>
      </c>
      <c r="H73" s="450"/>
      <c r="I73" s="13"/>
    </row>
    <row r="74" spans="1:10" ht="27.6" customHeight="1">
      <c r="A74" s="77" t="s">
        <v>1103</v>
      </c>
      <c r="B74" s="129" t="str">
        <f>Language!A955</f>
        <v>Are any growth-promoters added? (Such as: Gelatin, Yeast Extract, Hemin (X-factor), NAD (Y-factor), Pyridoxine, Para-amino benzoic acid, Cysteine)</v>
      </c>
      <c r="C74" s="109"/>
      <c r="F74" s="29">
        <f>C74</f>
        <v>0</v>
      </c>
      <c r="G74" s="18"/>
      <c r="H74" s="450"/>
    </row>
    <row r="75" spans="1:10">
      <c r="A75" s="77"/>
      <c r="B75" s="69" t="str">
        <f>Language!A956</f>
        <v>If yes, please describe in comments</v>
      </c>
      <c r="C75" s="29"/>
      <c r="D75" s="29"/>
      <c r="E75" s="29"/>
      <c r="F75" s="29"/>
      <c r="G75" s="18"/>
      <c r="H75" s="29"/>
    </row>
    <row r="76" spans="1:10">
      <c r="A76" s="77" t="s">
        <v>1104</v>
      </c>
      <c r="B76" s="129" t="str">
        <f>Language!A957</f>
        <v>Are resins or charcoal added? (to bind antimicrobials present in the patient's blood)</v>
      </c>
      <c r="C76" s="109"/>
      <c r="F76" s="29">
        <f>C76</f>
        <v>0</v>
      </c>
      <c r="G76" s="18"/>
      <c r="H76" s="450"/>
      <c r="I76" s="13"/>
    </row>
    <row r="77" spans="1:10">
      <c r="A77" s="77"/>
      <c r="B77" s="69" t="str">
        <f>Language!A958</f>
        <v>If yes, please descrube in comments</v>
      </c>
      <c r="C77" s="29"/>
      <c r="D77" s="29"/>
      <c r="E77" s="29"/>
      <c r="F77" s="29"/>
      <c r="G77" s="18"/>
      <c r="H77" s="29"/>
    </row>
    <row r="78" spans="1:10" ht="27.6" customHeight="1">
      <c r="A78" s="77" t="s">
        <v>1105</v>
      </c>
      <c r="B78" s="129" t="str">
        <f>Language!A959</f>
        <v>Is 50mL of broth dispensed into sterile bottles for adult patients? (1:5 blood:broth ratio)</v>
      </c>
      <c r="C78" s="27"/>
      <c r="F78" s="29">
        <f>C78</f>
        <v>0</v>
      </c>
      <c r="G78" s="18" t="str">
        <f t="shared" ref="G78:G80" si="14">IF(F78="Yes",1,IF(F78="No",0,"'"))</f>
        <v>'</v>
      </c>
      <c r="H78" s="450"/>
      <c r="I78" s="13"/>
    </row>
    <row r="79" spans="1:10" ht="27.6" customHeight="1">
      <c r="A79" s="77" t="s">
        <v>1106</v>
      </c>
      <c r="B79" s="129" t="str">
        <f>Language!A960</f>
        <v>Is 25mL of broth dispensed into sterile bottles for pediatric patients? (1:5 blood:broth ratio)</v>
      </c>
      <c r="C79" s="27"/>
      <c r="F79" s="29">
        <f>C79</f>
        <v>0</v>
      </c>
      <c r="G79" s="18" t="str">
        <f t="shared" si="14"/>
        <v>'</v>
      </c>
      <c r="H79" s="450"/>
      <c r="I79" s="13"/>
    </row>
    <row r="80" spans="1:10">
      <c r="A80" s="77" t="s">
        <v>1107</v>
      </c>
      <c r="B80" s="129" t="str">
        <f>Language!A961</f>
        <v>Are the bottles autoclaved at 121°C for &gt;15 min?</v>
      </c>
      <c r="C80" s="27"/>
      <c r="F80" s="29">
        <f>C80</f>
        <v>0</v>
      </c>
      <c r="G80" s="18" t="str">
        <f t="shared" si="14"/>
        <v>'</v>
      </c>
      <c r="H80" s="450"/>
      <c r="I80" s="13"/>
    </row>
    <row r="81" spans="1:9">
      <c r="A81" s="77"/>
      <c r="B81" s="129" t="str">
        <f>Language!A962</f>
        <v>Do QC records for blood culture bottles indicate the following:</v>
      </c>
      <c r="C81" s="13"/>
      <c r="D81" s="13"/>
      <c r="E81" s="13"/>
      <c r="F81" s="13"/>
      <c r="G81" s="13"/>
      <c r="I81" s="13"/>
    </row>
    <row r="82" spans="1:9">
      <c r="A82" s="77" t="s">
        <v>1108</v>
      </c>
      <c r="B82" s="83" t="str">
        <f>Language!A963</f>
        <v>Visual inspection performed and documented</v>
      </c>
      <c r="C82" s="27"/>
      <c r="F82" s="29">
        <f>C82</f>
        <v>0</v>
      </c>
      <c r="G82" s="18" t="str">
        <f t="shared" ref="G82:G87" si="15">IF(F82="Yes",1,IF(F82="No",0,"'"))</f>
        <v>'</v>
      </c>
      <c r="H82" s="450"/>
      <c r="I82" s="13"/>
    </row>
    <row r="83" spans="1:9">
      <c r="A83" s="77" t="s">
        <v>1855</v>
      </c>
      <c r="B83" s="83" t="str">
        <f>Language!A964</f>
        <v>Checked for sterility by incubating a portion of uninoculated bottles? (Ideally 5%)</v>
      </c>
      <c r="C83" s="27"/>
      <c r="F83" s="29">
        <f>C83</f>
        <v>0</v>
      </c>
      <c r="G83" s="18" t="str">
        <f t="shared" si="15"/>
        <v>'</v>
      </c>
      <c r="H83" s="450"/>
      <c r="I83" s="13"/>
    </row>
    <row r="84" spans="1:9">
      <c r="A84" s="77" t="s">
        <v>1856</v>
      </c>
      <c r="B84" s="83" t="str">
        <f>Language!A965</f>
        <v>Ability to support growth of Streptococcus pneumoniae</v>
      </c>
      <c r="C84" s="27"/>
      <c r="F84" s="29">
        <f t="shared" ref="F84:F85" si="16">C84</f>
        <v>0</v>
      </c>
      <c r="G84" s="18" t="str">
        <f t="shared" si="15"/>
        <v>'</v>
      </c>
      <c r="H84" s="450"/>
      <c r="I84" s="13"/>
    </row>
    <row r="85" spans="1:9">
      <c r="A85" s="77" t="s">
        <v>1871</v>
      </c>
      <c r="B85" s="83" t="str">
        <f>Language!A966</f>
        <v>Ability to support growth of Haemophilus influenzae</v>
      </c>
      <c r="C85" s="27"/>
      <c r="F85" s="29">
        <f t="shared" si="16"/>
        <v>0</v>
      </c>
      <c r="G85" s="18" t="str">
        <f t="shared" si="15"/>
        <v>'</v>
      </c>
      <c r="H85" s="450"/>
      <c r="I85" s="13"/>
    </row>
    <row r="86" spans="1:9" ht="27.6" customHeight="1">
      <c r="A86" s="77" t="s">
        <v>1878</v>
      </c>
      <c r="B86" s="129" t="str">
        <f>Language!A967</f>
        <v>Near the expiration date, is QC repeated on a few of the bottles to confirm the long-term stability of the broth?</v>
      </c>
      <c r="C86" s="27"/>
      <c r="F86" s="29">
        <f t="shared" ref="F86" si="17">C86</f>
        <v>0</v>
      </c>
      <c r="G86" s="18" t="str">
        <f t="shared" si="15"/>
        <v>'</v>
      </c>
      <c r="H86" s="454"/>
    </row>
    <row r="87" spans="1:9" ht="27.6" customHeight="1">
      <c r="A87" s="77" t="s">
        <v>1879</v>
      </c>
      <c r="B87" s="129" t="str">
        <f>Language!A968</f>
        <v>Are unused bottles labeled correctly (name, batch #, production date and expiration date)?</v>
      </c>
      <c r="C87" s="27"/>
      <c r="F87" s="29">
        <f>C87</f>
        <v>0</v>
      </c>
      <c r="G87" s="18" t="str">
        <f t="shared" si="15"/>
        <v>'</v>
      </c>
      <c r="H87" s="457"/>
      <c r="I87" s="13"/>
    </row>
  </sheetData>
  <sheetProtection algorithmName="SHA-256" hashValue="QCa71OgYEYFI87fFG03XwCOG/AvEjgHCAmrC1t3txXE=" saltValue="nbdZ1ETQ4QWnJcML5GdogA==" spinCount="100000" sheet="1" selectLockedCells="1"/>
  <mergeCells count="1">
    <mergeCell ref="B49:H49"/>
  </mergeCells>
  <phoneticPr fontId="46" type="noConversion"/>
  <conditionalFormatting sqref="G18 G31 G76 G72 G74 G68:G70">
    <cfRule type="cellIs" dxfId="1625" priority="812" stopIfTrue="1" operator="lessThan">
      <formula>0.5</formula>
    </cfRule>
    <cfRule type="cellIs" dxfId="1624" priority="813" stopIfTrue="1" operator="between">
      <formula>0.5</formula>
      <formula>0.75</formula>
    </cfRule>
    <cfRule type="cellIs" dxfId="1623" priority="814" stopIfTrue="1" operator="greaterThan">
      <formula>0.75</formula>
    </cfRule>
  </conditionalFormatting>
  <conditionalFormatting sqref="G50:G51">
    <cfRule type="cellIs" dxfId="1622" priority="803" stopIfTrue="1" operator="lessThan">
      <formula>0.5</formula>
    </cfRule>
    <cfRule type="cellIs" dxfId="1621" priority="804" stopIfTrue="1" operator="between">
      <formula>0.5</formula>
      <formula>0.75</formula>
    </cfRule>
    <cfRule type="cellIs" dxfId="1620" priority="805" stopIfTrue="1" operator="greaterThan">
      <formula>0.75</formula>
    </cfRule>
  </conditionalFormatting>
  <conditionalFormatting sqref="G54">
    <cfRule type="cellIs" dxfId="1619" priority="800" stopIfTrue="1" operator="lessThan">
      <formula>0.5</formula>
    </cfRule>
    <cfRule type="cellIs" dxfId="1618" priority="801" stopIfTrue="1" operator="between">
      <formula>0.5</formula>
      <formula>0.75</formula>
    </cfRule>
    <cfRule type="cellIs" dxfId="1617" priority="802" stopIfTrue="1" operator="greaterThan">
      <formula>0.75</formula>
    </cfRule>
  </conditionalFormatting>
  <conditionalFormatting sqref="G63">
    <cfRule type="cellIs" dxfId="1616" priority="518" stopIfTrue="1" operator="lessThan">
      <formula>0.5</formula>
    </cfRule>
    <cfRule type="cellIs" dxfId="1615" priority="519" stopIfTrue="1" operator="between">
      <formula>0.5</formula>
      <formula>0.75</formula>
    </cfRule>
    <cfRule type="cellIs" dxfId="1614" priority="520" stopIfTrue="1" operator="greaterThan">
      <formula>0.75</formula>
    </cfRule>
  </conditionalFormatting>
  <conditionalFormatting sqref="G1 G18 G88:G1048576 G31 G76 G72 G26 G63 G50:G52 G39 G54 G74 G66:G70 G36">
    <cfRule type="containsText" dxfId="1613" priority="376" stopIfTrue="1" operator="containsText" text="RED FLAG">
      <formula>NOT(ISERROR(SEARCH("RED FLAG",G1)))</formula>
    </cfRule>
  </conditionalFormatting>
  <conditionalFormatting sqref="C36">
    <cfRule type="cellIs" dxfId="1612" priority="350" stopIfTrue="1" operator="greaterThanOrEqual">
      <formula>0.8</formula>
    </cfRule>
    <cfRule type="cellIs" dxfId="1611" priority="351" stopIfTrue="1" operator="between">
      <formula>0.5</formula>
      <formula>0.799</formula>
    </cfRule>
    <cfRule type="cellIs" dxfId="1610" priority="352" stopIfTrue="1" operator="lessThan">
      <formula>0.5</formula>
    </cfRule>
  </conditionalFormatting>
  <conditionalFormatting sqref="C51">
    <cfRule type="cellIs" dxfId="1609" priority="225" stopIfTrue="1" operator="greaterThanOrEqual">
      <formula>0.8</formula>
    </cfRule>
    <cfRule type="cellIs" dxfId="1608" priority="226" stopIfTrue="1" operator="between">
      <formula>0.5</formula>
      <formula>0.799</formula>
    </cfRule>
    <cfRule type="cellIs" dxfId="1607" priority="227" stopIfTrue="1" operator="lessThan">
      <formula>0.5</formula>
    </cfRule>
  </conditionalFormatting>
  <conditionalFormatting sqref="G3">
    <cfRule type="cellIs" dxfId="1606" priority="186" stopIfTrue="1" operator="lessThan">
      <formula>0.5</formula>
    </cfRule>
    <cfRule type="cellIs" dxfId="1605" priority="187" stopIfTrue="1" operator="between">
      <formula>0.5</formula>
      <formula>0.75</formula>
    </cfRule>
    <cfRule type="cellIs" dxfId="1604" priority="188" stopIfTrue="1" operator="greaterThan">
      <formula>0.75</formula>
    </cfRule>
  </conditionalFormatting>
  <conditionalFormatting sqref="G13">
    <cfRule type="cellIs" dxfId="1603" priority="183" stopIfTrue="1" operator="lessThan">
      <formula>0.5</formula>
    </cfRule>
    <cfRule type="cellIs" dxfId="1602" priority="184" stopIfTrue="1" operator="between">
      <formula>0.5</formula>
      <formula>0.75</formula>
    </cfRule>
    <cfRule type="cellIs" dxfId="1601" priority="185" stopIfTrue="1" operator="greaterThan">
      <formula>0.75</formula>
    </cfRule>
  </conditionalFormatting>
  <conditionalFormatting sqref="G13 G3">
    <cfRule type="containsText" dxfId="1600" priority="164" stopIfTrue="1" operator="containsText" text="RED FLAG">
      <formula>NOT(ISERROR(SEARCH("RED FLAG",G3)))</formula>
    </cfRule>
  </conditionalFormatting>
  <conditionalFormatting sqref="C3">
    <cfRule type="cellIs" dxfId="1599" priority="157" stopIfTrue="1" operator="greaterThanOrEqual">
      <formula>0.8</formula>
    </cfRule>
    <cfRule type="cellIs" dxfId="1598" priority="158" stopIfTrue="1" operator="between">
      <formula>0.5</formula>
      <formula>0.799</formula>
    </cfRule>
    <cfRule type="cellIs" dxfId="1597" priority="159" stopIfTrue="1" operator="lessThan">
      <formula>0.5</formula>
    </cfRule>
  </conditionalFormatting>
  <conditionalFormatting sqref="C18">
    <cfRule type="cellIs" dxfId="1596" priority="143" stopIfTrue="1" operator="greaterThanOrEqual">
      <formula>0.8</formula>
    </cfRule>
    <cfRule type="cellIs" dxfId="1595" priority="144" stopIfTrue="1" operator="between">
      <formula>0.5</formula>
      <formula>0.799</formula>
    </cfRule>
    <cfRule type="cellIs" dxfId="1594" priority="145" stopIfTrue="1" operator="lessThan">
      <formula>0.5</formula>
    </cfRule>
  </conditionalFormatting>
  <conditionalFormatting sqref="C68">
    <cfRule type="cellIs" dxfId="1593" priority="124" stopIfTrue="1" operator="greaterThanOrEqual">
      <formula>0.8</formula>
    </cfRule>
    <cfRule type="cellIs" dxfId="1592" priority="125" stopIfTrue="1" operator="between">
      <formula>0.5</formula>
      <formula>0.799</formula>
    </cfRule>
    <cfRule type="cellIs" dxfId="1591" priority="126" stopIfTrue="1" operator="lessThan">
      <formula>0.5</formula>
    </cfRule>
  </conditionalFormatting>
  <conditionalFormatting sqref="G30">
    <cfRule type="cellIs" dxfId="1590" priority="117" stopIfTrue="1" operator="lessThan">
      <formula>0.5</formula>
    </cfRule>
    <cfRule type="cellIs" dxfId="1589" priority="118" stopIfTrue="1" operator="between">
      <formula>0.5</formula>
      <formula>0.75</formula>
    </cfRule>
    <cfRule type="cellIs" dxfId="1588" priority="119" stopIfTrue="1" operator="greaterThan">
      <formula>0.75</formula>
    </cfRule>
  </conditionalFormatting>
  <conditionalFormatting sqref="G30">
    <cfRule type="containsText" dxfId="1587" priority="116" stopIfTrue="1" operator="containsText" text="RED FLAG">
      <formula>NOT(ISERROR(SEARCH("RED FLAG",G30)))</formula>
    </cfRule>
  </conditionalFormatting>
  <conditionalFormatting sqref="C30">
    <cfRule type="cellIs" dxfId="1586" priority="113" stopIfTrue="1" operator="greaterThanOrEqual">
      <formula>0.8</formula>
    </cfRule>
    <cfRule type="cellIs" dxfId="1585" priority="114" stopIfTrue="1" operator="between">
      <formula>0.5</formula>
      <formula>0.799</formula>
    </cfRule>
    <cfRule type="cellIs" dxfId="1584" priority="115" stopIfTrue="1" operator="lessThan">
      <formula>0.5</formula>
    </cfRule>
  </conditionalFormatting>
  <conditionalFormatting sqref="G75">
    <cfRule type="cellIs" dxfId="1583" priority="56" stopIfTrue="1" operator="lessThan">
      <formula>0.5</formula>
    </cfRule>
    <cfRule type="cellIs" dxfId="1582" priority="57" stopIfTrue="1" operator="between">
      <formula>0.5</formula>
      <formula>0.75</formula>
    </cfRule>
    <cfRule type="cellIs" dxfId="1581" priority="58" stopIfTrue="1" operator="greaterThan">
      <formula>0.75</formula>
    </cfRule>
  </conditionalFormatting>
  <conditionalFormatting sqref="G75">
    <cfRule type="containsText" dxfId="1580" priority="55" stopIfTrue="1" operator="containsText" text="RED FLAG">
      <formula>NOT(ISERROR(SEARCH("RED FLAG",G75)))</formula>
    </cfRule>
  </conditionalFormatting>
  <conditionalFormatting sqref="G71 I71">
    <cfRule type="cellIs" dxfId="1579" priority="48" stopIfTrue="1" operator="lessThan">
      <formula>0.5</formula>
    </cfRule>
    <cfRule type="cellIs" dxfId="1578" priority="49" stopIfTrue="1" operator="between">
      <formula>0.5</formula>
      <formula>0.75</formula>
    </cfRule>
    <cfRule type="cellIs" dxfId="1577" priority="50" stopIfTrue="1" operator="greaterThan">
      <formula>0.75</formula>
    </cfRule>
  </conditionalFormatting>
  <conditionalFormatting sqref="G77">
    <cfRule type="cellIs" dxfId="1576" priority="42" stopIfTrue="1" operator="lessThan">
      <formula>0.5</formula>
    </cfRule>
    <cfRule type="cellIs" dxfId="1575" priority="43" stopIfTrue="1" operator="between">
      <formula>0.5</formula>
      <formula>0.75</formula>
    </cfRule>
    <cfRule type="cellIs" dxfId="1574" priority="44" stopIfTrue="1" operator="greaterThan">
      <formula>0.75</formula>
    </cfRule>
  </conditionalFormatting>
  <conditionalFormatting sqref="G77">
    <cfRule type="containsText" dxfId="1573" priority="41" stopIfTrue="1" operator="containsText" text="RED FLAG">
      <formula>NOT(ISERROR(SEARCH("RED FLAG",G77)))</formula>
    </cfRule>
  </conditionalFormatting>
  <conditionalFormatting sqref="G4">
    <cfRule type="cellIs" dxfId="1572" priority="30" stopIfTrue="1" operator="lessThan">
      <formula>0.5</formula>
    </cfRule>
    <cfRule type="cellIs" dxfId="1571" priority="31" stopIfTrue="1" operator="between">
      <formula>0.5</formula>
      <formula>0.75</formula>
    </cfRule>
    <cfRule type="cellIs" dxfId="1570" priority="32" stopIfTrue="1" operator="greaterThan">
      <formula>0.75</formula>
    </cfRule>
  </conditionalFormatting>
  <conditionalFormatting sqref="G4">
    <cfRule type="containsText" dxfId="1569" priority="29" stopIfTrue="1" operator="containsText" text="RED FLAG">
      <formula>NOT(ISERROR(SEARCH("RED FLAG",G4)))</formula>
    </cfRule>
  </conditionalFormatting>
  <conditionalFormatting sqref="G55:G61 G53 G40:G48 G37 G32:G35 G27:G29 G19:G24 G14:G17 G6:G12 G64:G65">
    <cfRule type="cellIs" dxfId="1568" priority="26" stopIfTrue="1" operator="lessThan">
      <formula>0.5</formula>
    </cfRule>
    <cfRule type="cellIs" dxfId="1567" priority="27" stopIfTrue="1" operator="between">
      <formula>0.5</formula>
      <formula>0.75</formula>
    </cfRule>
    <cfRule type="cellIs" dxfId="1566" priority="28" stopIfTrue="1" operator="greaterThan">
      <formula>0.75</formula>
    </cfRule>
  </conditionalFormatting>
  <conditionalFormatting sqref="G55:G61 G53 G40:G48 G37 G32:G35 G27:G29 G19:G24 G14:G17 G6:G12 G64:G65">
    <cfRule type="containsText" dxfId="1565" priority="25" stopIfTrue="1" operator="containsText" text="RED FLAG">
      <formula>NOT(ISERROR(SEARCH("RED FLAG",G6)))</formula>
    </cfRule>
  </conditionalFormatting>
  <conditionalFormatting sqref="G25">
    <cfRule type="cellIs" dxfId="1564" priority="22" stopIfTrue="1" operator="lessThan">
      <formula>0.5</formula>
    </cfRule>
    <cfRule type="cellIs" dxfId="1563" priority="23" stopIfTrue="1" operator="between">
      <formula>0.5</formula>
      <formula>0.75</formula>
    </cfRule>
    <cfRule type="cellIs" dxfId="1562" priority="24" stopIfTrue="1" operator="greaterThan">
      <formula>0.75</formula>
    </cfRule>
  </conditionalFormatting>
  <conditionalFormatting sqref="G25">
    <cfRule type="containsText" dxfId="1561" priority="21" stopIfTrue="1" operator="containsText" text="RED FLAG">
      <formula>NOT(ISERROR(SEARCH("RED FLAG",G25)))</formula>
    </cfRule>
  </conditionalFormatting>
  <conditionalFormatting sqref="G25">
    <cfRule type="cellIs" dxfId="1560" priority="18" stopIfTrue="1" operator="lessThan">
      <formula>0.5</formula>
    </cfRule>
    <cfRule type="cellIs" dxfId="1559" priority="19" stopIfTrue="1" operator="between">
      <formula>0.5</formula>
      <formula>0.75</formula>
    </cfRule>
    <cfRule type="cellIs" dxfId="1558" priority="20" stopIfTrue="1" operator="greaterThan">
      <formula>0.75</formula>
    </cfRule>
  </conditionalFormatting>
  <conditionalFormatting sqref="G25">
    <cfRule type="cellIs" dxfId="1557" priority="15" stopIfTrue="1" operator="lessThan">
      <formula>0.5</formula>
    </cfRule>
    <cfRule type="cellIs" dxfId="1556" priority="16" stopIfTrue="1" operator="between">
      <formula>0.5</formula>
      <formula>0.75</formula>
    </cfRule>
    <cfRule type="cellIs" dxfId="1555" priority="17" stopIfTrue="1" operator="greaterThan">
      <formula>0.75</formula>
    </cfRule>
  </conditionalFormatting>
  <conditionalFormatting sqref="G38">
    <cfRule type="cellIs" dxfId="1554" priority="12" stopIfTrue="1" operator="lessThan">
      <formula>0.5</formula>
    </cfRule>
    <cfRule type="cellIs" dxfId="1553" priority="13" stopIfTrue="1" operator="between">
      <formula>0.5</formula>
      <formula>0.75</formula>
    </cfRule>
    <cfRule type="cellIs" dxfId="1552" priority="14" stopIfTrue="1" operator="greaterThan">
      <formula>0.75</formula>
    </cfRule>
  </conditionalFormatting>
  <conditionalFormatting sqref="G38">
    <cfRule type="containsText" dxfId="1551" priority="11" stopIfTrue="1" operator="containsText" text="RED FLAG">
      <formula>NOT(ISERROR(SEARCH("RED FLAG",G38)))</formula>
    </cfRule>
  </conditionalFormatting>
  <conditionalFormatting sqref="G38">
    <cfRule type="cellIs" dxfId="1550" priority="8" stopIfTrue="1" operator="lessThan">
      <formula>0.5</formula>
    </cfRule>
    <cfRule type="cellIs" dxfId="1549" priority="9" stopIfTrue="1" operator="between">
      <formula>0.5</formula>
      <formula>0.75</formula>
    </cfRule>
    <cfRule type="cellIs" dxfId="1548" priority="10" stopIfTrue="1" operator="greaterThan">
      <formula>0.75</formula>
    </cfRule>
  </conditionalFormatting>
  <conditionalFormatting sqref="G38">
    <cfRule type="cellIs" dxfId="1547" priority="5" stopIfTrue="1" operator="lessThan">
      <formula>0.5</formula>
    </cfRule>
    <cfRule type="cellIs" dxfId="1546" priority="6" stopIfTrue="1" operator="between">
      <formula>0.5</formula>
      <formula>0.75</formula>
    </cfRule>
    <cfRule type="cellIs" dxfId="1545" priority="7" stopIfTrue="1" operator="greaterThan">
      <formula>0.75</formula>
    </cfRule>
  </conditionalFormatting>
  <conditionalFormatting sqref="G82:G87 G78:G80 G73">
    <cfRule type="cellIs" dxfId="1544" priority="2" stopIfTrue="1" operator="lessThan">
      <formula>0.5</formula>
    </cfRule>
    <cfRule type="cellIs" dxfId="1543" priority="3" stopIfTrue="1" operator="between">
      <formula>0.5</formula>
      <formula>0.75</formula>
    </cfRule>
    <cfRule type="cellIs" dxfId="1542" priority="4" stopIfTrue="1" operator="greaterThan">
      <formula>0.75</formula>
    </cfRule>
  </conditionalFormatting>
  <conditionalFormatting sqref="G82:G87 G78:G80 G73">
    <cfRule type="containsText" dxfId="1541" priority="1" stopIfTrue="1" operator="containsText" text="RED FLAG">
      <formula>NOT(ISERROR(SEARCH("RED FLAG",G73)))</formula>
    </cfRule>
  </conditionalFormatting>
  <dataValidations count="5">
    <dataValidation type="list" allowBlank="1" showInputMessage="1" showErrorMessage="1" sqref="C55 C65 C58 C53 C14:C17 C4 C6:C12 C32:C35 C73:C74 C44:C48 C76 C78:C80 C82:C87" xr:uid="{00000000-0002-0000-0900-000000000000}">
      <formula1>"Yes,No,NA"</formula1>
    </dataValidation>
    <dataValidation type="list" allowBlank="1" showInputMessage="1" showErrorMessage="1" sqref="C54 C37 C40:C43 C63:C64 C56:C57 C59:C61 C19:C24 C27:C29 C69" xr:uid="{00000000-0002-0000-0900-000001000000}">
      <formula1>"Yes,No"</formula1>
    </dataValidation>
    <dataValidation type="list" allowBlank="1" showInputMessage="1" showErrorMessage="1" sqref="C38" xr:uid="{00000000-0002-0000-0900-000002000000}">
      <formula1>"1,2,3,NA"</formula1>
    </dataValidation>
    <dataValidation type="list" allowBlank="1" showInputMessage="1" showErrorMessage="1" sqref="C25" xr:uid="{00000000-0002-0000-0900-000003000000}">
      <formula1>"1,2,3"</formula1>
    </dataValidation>
    <dataValidation type="list" allowBlank="1" showInputMessage="1" showErrorMessage="1" sqref="C71" xr:uid="{00000000-0002-0000-0900-000004000000}">
      <formula1>"1,2,3,4,5,6,7,8,NA"</formula1>
    </dataValidation>
  </dataValidations>
  <pageMargins left="0.25" right="0.25" top="0.75000000000000011" bottom="0.75000000000000011" header="0.30000000000000004" footer="0.30000000000000004"/>
  <pageSetup paperSize="9" scale="94" fitToHeight="4" orientation="landscape" r:id="rId1"/>
  <headerFooter>
    <oddFooter>&amp;C&amp;A -&amp;P</oddFooter>
  </headerFooter>
  <rowBreaks count="3" manualBreakCount="3">
    <brk id="29" max="7" man="1"/>
    <brk id="49" max="4" man="1"/>
    <brk id="67"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70C0"/>
    <pageSetUpPr fitToPage="1"/>
  </sheetPr>
  <dimension ref="A1:K163"/>
  <sheetViews>
    <sheetView zoomScaleNormal="100" zoomScaleSheetLayoutView="110" zoomScalePageLayoutView="80" workbookViewId="0">
      <selection activeCell="C4" sqref="C4"/>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2.69921875" style="22" hidden="1" customWidth="1"/>
    <col min="6" max="6" width="5.19921875" style="28" hidden="1" customWidth="1"/>
    <col min="7" max="7" width="5.19921875" style="22" customWidth="1"/>
    <col min="8" max="8" width="38.69921875" style="72" customWidth="1"/>
    <col min="9" max="9" width="9.69921875" style="22" customWidth="1"/>
    <col min="10" max="16384" width="11" style="22"/>
  </cols>
  <sheetData>
    <row r="1" spans="1:11">
      <c r="A1" s="10"/>
      <c r="B1" s="43" t="str">
        <f>Language!A969</f>
        <v>6- QUALITY CONTROL - ID METHODS</v>
      </c>
      <c r="C1" s="52" t="str">
        <f>IF(COUNT(G2:G163)=0,"???",AVERAGE(G2:G163))</f>
        <v>???</v>
      </c>
      <c r="H1" s="199" t="str">
        <f>'Facility 1'!H1</f>
        <v>Comments</v>
      </c>
    </row>
    <row r="2" spans="1:11" ht="16.2" thickBot="1">
      <c r="A2" s="16"/>
      <c r="B2" s="471"/>
      <c r="C2" s="235"/>
      <c r="D2" s="514"/>
      <c r="E2" s="201"/>
      <c r="F2" s="201"/>
      <c r="G2" s="201"/>
      <c r="H2" s="471"/>
      <c r="J2" s="201"/>
      <c r="K2" s="201"/>
    </row>
    <row r="3" spans="1:11" ht="16.2" thickBot="1">
      <c r="A3" s="166"/>
      <c r="B3" s="84" t="str">
        <f>Language!A970</f>
        <v>GRAM STAIN QC and REAGENT LABELING AND STORAGE</v>
      </c>
      <c r="C3" s="73" t="str">
        <f>IF(COUNTBLANK(C4:C14)=11,"???",IF(COUNT(G4:G14)=0,"NA",AVERAGE(G4:G14)))</f>
        <v>???</v>
      </c>
      <c r="D3" s="48"/>
      <c r="E3" s="48"/>
      <c r="F3" s="48"/>
      <c r="G3" s="48"/>
      <c r="H3" s="446"/>
    </row>
    <row r="4" spans="1:11" ht="27.6" customHeight="1">
      <c r="A4" s="10" t="s">
        <v>509</v>
      </c>
      <c r="B4" s="20" t="str">
        <f>Language!A971</f>
        <v>Is QC performed and results recorded on each new preparation or lot number of Gram stain reagents?</v>
      </c>
      <c r="C4" s="27"/>
      <c r="F4" s="29">
        <f>C4</f>
        <v>0</v>
      </c>
      <c r="G4" s="18" t="str">
        <f>IF(F4=1,1,IF(F4=2,0.5,IF(F4=3,0,"'")))</f>
        <v>'</v>
      </c>
      <c r="H4" s="450"/>
    </row>
    <row r="5" spans="1:11">
      <c r="A5" s="10"/>
      <c r="B5" s="465" t="str">
        <f>Language!A972</f>
        <v>1: Yes - 2: Partial - 3: No</v>
      </c>
      <c r="C5" s="22"/>
      <c r="F5" s="22"/>
    </row>
    <row r="6" spans="1:11" ht="24" customHeight="1">
      <c r="A6" s="10"/>
      <c r="B6" s="132" t="str">
        <f>Language!A973</f>
        <v>Standard: CAP MIC.21540, MIC.21624 All staining procedures (Gram stains, special stains, and fluorescent stains) should be checked and results recorded for each new batch of stain.</v>
      </c>
      <c r="C6" s="22"/>
      <c r="F6" s="22"/>
    </row>
    <row r="7" spans="1:11">
      <c r="A7" s="10" t="s">
        <v>510</v>
      </c>
      <c r="B7" s="20" t="str">
        <f>Language!A974</f>
        <v>Is Gram stain QC performed using both positive and negative control organisms?</v>
      </c>
      <c r="C7" s="27"/>
      <c r="F7" s="29">
        <f>C7</f>
        <v>0</v>
      </c>
      <c r="G7" s="18" t="str">
        <f t="shared" ref="G7" si="0">IF(F7="Yes",1,IF(F7="No",0,"'"))</f>
        <v>'</v>
      </c>
      <c r="H7" s="450"/>
    </row>
    <row r="8" spans="1:11" ht="27.6" customHeight="1">
      <c r="A8" s="10"/>
      <c r="B8" s="20" t="str">
        <f>Language!A975</f>
        <v xml:space="preserve">Observe the Gram stain, catalase, coagulase, oxidase and indole reagents in use by the laboratory. Are they labeled with: </v>
      </c>
      <c r="H8" s="182"/>
    </row>
    <row r="9" spans="1:11">
      <c r="A9" s="10"/>
      <c r="B9" s="465" t="str">
        <f>Language!A980</f>
        <v>1: All - 2: Some - 3: None</v>
      </c>
      <c r="C9" s="48"/>
      <c r="F9" s="29"/>
      <c r="G9" s="18"/>
    </row>
    <row r="10" spans="1:11">
      <c r="A10" s="10" t="s">
        <v>511</v>
      </c>
      <c r="B10" s="37" t="str">
        <f>Language!A976</f>
        <v>Name of reagent</v>
      </c>
      <c r="C10" s="27"/>
      <c r="F10" s="29">
        <f>C10</f>
        <v>0</v>
      </c>
      <c r="G10" s="18" t="str">
        <f>IF(F10=1,1,IF(F10=2,0.5,IF(F10=3,0,"'")))</f>
        <v>'</v>
      </c>
      <c r="H10" s="450"/>
    </row>
    <row r="11" spans="1:11">
      <c r="A11" s="10" t="s">
        <v>512</v>
      </c>
      <c r="B11" s="37" t="str">
        <f>Language!A977</f>
        <v>Date of preparation/reconstitution (if relevant, e.g., coagulase)</v>
      </c>
      <c r="C11" s="27"/>
      <c r="F11" s="29">
        <f>C11</f>
        <v>0</v>
      </c>
      <c r="G11" s="18" t="str">
        <f t="shared" ref="G11:G13" si="1">IF(F11=1,1,IF(F11=2,0.5,IF(F11=3,0,"'")))</f>
        <v>'</v>
      </c>
      <c r="H11" s="450"/>
    </row>
    <row r="12" spans="1:11">
      <c r="A12" s="10" t="s">
        <v>1109</v>
      </c>
      <c r="B12" s="37" t="str">
        <f>Language!A978</f>
        <v>Date of opening</v>
      </c>
      <c r="C12" s="27"/>
      <c r="F12" s="29">
        <f>C12</f>
        <v>0</v>
      </c>
      <c r="G12" s="18" t="str">
        <f t="shared" si="1"/>
        <v>'</v>
      </c>
      <c r="H12" s="450"/>
    </row>
    <row r="13" spans="1:11">
      <c r="A13" s="10" t="s">
        <v>513</v>
      </c>
      <c r="B13" s="37" t="str">
        <f>Language!A979</f>
        <v>Expiration date</v>
      </c>
      <c r="C13" s="27"/>
      <c r="F13" s="29">
        <f>C13</f>
        <v>0</v>
      </c>
      <c r="G13" s="18" t="str">
        <f t="shared" si="1"/>
        <v>'</v>
      </c>
      <c r="H13" s="450"/>
    </row>
    <row r="14" spans="1:11">
      <c r="A14" s="10" t="s">
        <v>514</v>
      </c>
      <c r="B14" s="20" t="str">
        <f>Language!A981</f>
        <v>Are tubed media, reagents, and kits stored at the temperatures indicated by the manufacturer?</v>
      </c>
      <c r="C14" s="27"/>
      <c r="F14" s="29">
        <f>C14</f>
        <v>0</v>
      </c>
      <c r="G14" s="18" t="str">
        <f t="shared" ref="G14" si="2">IF(F14="Yes",1,IF(F14="No",0,"'"))</f>
        <v>'</v>
      </c>
      <c r="H14" s="450"/>
    </row>
    <row r="15" spans="1:11" ht="16.2" thickBot="1">
      <c r="A15" s="10"/>
      <c r="C15" s="48"/>
      <c r="F15" s="29"/>
      <c r="G15" s="18"/>
    </row>
    <row r="16" spans="1:11">
      <c r="A16" s="166"/>
      <c r="B16" s="84" t="str">
        <f>Language!A982</f>
        <v>QC OF INDIVIDUAL BIOCHEMICAL METHODS</v>
      </c>
      <c r="C16" s="73" t="str">
        <f>IF(COUNT(C17:C20)=0,"???",AVERAGE(C17:C20))</f>
        <v>???</v>
      </c>
      <c r="F16" s="18"/>
      <c r="G16" s="18"/>
      <c r="H16" s="458"/>
    </row>
    <row r="17" spans="1:8">
      <c r="A17" s="10"/>
      <c r="B17" s="405" t="str">
        <f>Language!A983</f>
        <v>NOTE: This question applies only to the tubed media and liquid reagents in use by the lab.</v>
      </c>
      <c r="C17" s="396" t="str">
        <f>IF(COUNT(G22,G27,G32,G37,G42,G47,G52,G57,G62,G67,G72,G77,G82,G87,G92,G97,G102,G107,G112,G117,G122,G127,G132)=0,"???",AVERAGE(G22,G27,G32,G37,G42,G47,G52,G57,G62,G67,G72,G77,G82,G87,G92,G97,G102,G107,G112,G117,G122,G127,G132))</f>
        <v>???</v>
      </c>
      <c r="E17" s="29"/>
      <c r="F17" s="29"/>
      <c r="G17" s="18"/>
      <c r="H17" s="406" t="str">
        <f>B22</f>
        <v>Positive control is used</v>
      </c>
    </row>
    <row r="18" spans="1:8">
      <c r="A18" s="10"/>
      <c r="B18" s="405" t="str">
        <f>Language!A984</f>
        <v>It does NOT apply to the biochemical reagent wells incorporated into pre-defined identification systems,</v>
      </c>
      <c r="C18" s="396" t="str">
        <f>IF(COUNT(G23,G28,G33,G38,G43,G48,G53,G58,G63,G68,G73,G78,G83,G88,G93,G98,G103,G108,G113,G118,G123,G128,G133)=0,"???",AVERAGE(G23,G28,G33,G38,G43,G48,G53,G58,G63,G68,G73,G78,G83,G88,G93,G98,G103,G108,G113,G118,G123,G128,G133))</f>
        <v>???</v>
      </c>
      <c r="F18" s="29"/>
      <c r="H18" s="406" t="str">
        <f>B23</f>
        <v>Negative control is used</v>
      </c>
    </row>
    <row r="19" spans="1:8" ht="27.6" customHeight="1">
      <c r="A19" s="10"/>
      <c r="B19" s="569" t="str">
        <f>Language!A985</f>
        <v xml:space="preserve">such as Vitek, API, Liofilchem, etc. </v>
      </c>
      <c r="C19" s="396" t="str">
        <f>IF(COUNT(G24,G29,G34,G39,G44,G49,G54,G59,G64,G69,G74,G79,G84,G89,G94,G99,G104,G109,G114,G119,G124,G129,G134)=0,"???",AVERAGE(G24,G29,G34,G39,G44,G49,G54,G59,G64,G69,G74,G79,G84,G89,G94,G99,G104,G109,G114,G119,G124,G129,G134))</f>
        <v>???</v>
      </c>
      <c r="F19" s="22"/>
      <c r="H19" s="407" t="str">
        <f>B24</f>
        <v>QC is performed on each new batch/lot number</v>
      </c>
    </row>
    <row r="20" spans="1:8" ht="27.6" customHeight="1">
      <c r="A20" s="10"/>
      <c r="B20" s="20" t="str">
        <f>Language!A986</f>
        <v>Do QC records demonstrate the following? If a reagent is not used, check NA</v>
      </c>
      <c r="C20" s="396" t="str">
        <f>IF(COUNT(G25,G30,G35,G40,G45,G50,G55,G60,G65,G70,G75,G80,G85,G90,G95,G100,G105,G110,G115,G120,G125,G130,G135)=0,"???",AVERAGE(G25,G30,G35,G40,G45,G50,G55,G60,G65,G70,G75,G80,G85,G90,G95,G100,G105,G110,G115,G120,G125,G130,G135))</f>
        <v>???</v>
      </c>
      <c r="F20" s="513"/>
      <c r="H20" s="406" t="str">
        <f>B25</f>
        <v>QC is performed using ATCC or ATCC-derivative strains</v>
      </c>
    </row>
    <row r="21" spans="1:8">
      <c r="A21" s="10"/>
      <c r="B21" s="45" t="str">
        <f>Language!A987</f>
        <v>Catalase (H2O2)</v>
      </c>
      <c r="C21" s="75" t="str">
        <f>IF(COUNTBLANK(C22:C25)=4,"???",IF(COUNT(G22:G25)=0,"NA",AVERAGE(G22:G25)))</f>
        <v>???</v>
      </c>
      <c r="E21" s="28"/>
    </row>
    <row r="22" spans="1:8">
      <c r="A22" s="10" t="s">
        <v>515</v>
      </c>
      <c r="B22" s="37" t="str">
        <f>Language!A988</f>
        <v>Positive control is used</v>
      </c>
      <c r="C22" s="27"/>
      <c r="F22" s="29">
        <f>C22</f>
        <v>0</v>
      </c>
      <c r="G22" s="18" t="str">
        <f t="shared" ref="G22:G25" si="3">IF(F22="Yes",1,IF(F22="No",0,"'"))</f>
        <v>'</v>
      </c>
      <c r="H22" s="450"/>
    </row>
    <row r="23" spans="1:8">
      <c r="A23" s="10" t="s">
        <v>516</v>
      </c>
      <c r="B23" s="37" t="str">
        <f>Language!A989</f>
        <v>Negative control is used</v>
      </c>
      <c r="C23" s="27"/>
      <c r="F23" s="29">
        <f>C23</f>
        <v>0</v>
      </c>
      <c r="G23" s="18" t="str">
        <f t="shared" si="3"/>
        <v>'</v>
      </c>
      <c r="H23" s="450"/>
    </row>
    <row r="24" spans="1:8">
      <c r="A24" s="10" t="s">
        <v>517</v>
      </c>
      <c r="B24" s="37" t="str">
        <f>Language!A990</f>
        <v>QC is performed on each new batch/lot number</v>
      </c>
      <c r="C24" s="27"/>
      <c r="F24" s="29">
        <f>C24</f>
        <v>0</v>
      </c>
      <c r="G24" s="18" t="str">
        <f t="shared" si="3"/>
        <v>'</v>
      </c>
      <c r="H24" s="450"/>
    </row>
    <row r="25" spans="1:8">
      <c r="A25" s="10" t="s">
        <v>518</v>
      </c>
      <c r="B25" s="37" t="str">
        <f>Language!A991</f>
        <v>QC is performed using ATCC or ATCC-derivative strains</v>
      </c>
      <c r="C25" s="27"/>
      <c r="F25" s="29">
        <f>C25</f>
        <v>0</v>
      </c>
      <c r="G25" s="18" t="str">
        <f t="shared" si="3"/>
        <v>'</v>
      </c>
      <c r="H25" s="450"/>
    </row>
    <row r="26" spans="1:8">
      <c r="A26" s="10"/>
      <c r="B26" s="45" t="str">
        <f>Language!A992</f>
        <v>Coagulase plasma</v>
      </c>
      <c r="C26" s="75" t="str">
        <f>IF(COUNTBLANK(C27:C30)=4,"???",IF(COUNT(G27:G30)=0,"NA",AVERAGE(G27:G30)))</f>
        <v>???</v>
      </c>
    </row>
    <row r="27" spans="1:8">
      <c r="A27" s="10" t="s">
        <v>519</v>
      </c>
      <c r="B27" s="37" t="str">
        <f>Language!A988</f>
        <v>Positive control is used</v>
      </c>
      <c r="C27" s="27"/>
      <c r="F27" s="29">
        <f>C27</f>
        <v>0</v>
      </c>
      <c r="G27" s="18" t="str">
        <f t="shared" ref="G27:G30" si="4">IF(F27="Yes",1,IF(F27="No",0,"'"))</f>
        <v>'</v>
      </c>
      <c r="H27" s="450"/>
    </row>
    <row r="28" spans="1:8">
      <c r="A28" s="10" t="s">
        <v>520</v>
      </c>
      <c r="B28" s="37" t="str">
        <f>Language!A989</f>
        <v>Negative control is used</v>
      </c>
      <c r="C28" s="27"/>
      <c r="F28" s="29">
        <f>C28</f>
        <v>0</v>
      </c>
      <c r="G28" s="18" t="str">
        <f t="shared" si="4"/>
        <v>'</v>
      </c>
      <c r="H28" s="450"/>
    </row>
    <row r="29" spans="1:8">
      <c r="A29" s="10" t="s">
        <v>521</v>
      </c>
      <c r="B29" s="37" t="str">
        <f>Language!A990</f>
        <v>QC is performed on each new batch/lot number</v>
      </c>
      <c r="C29" s="27"/>
      <c r="F29" s="29">
        <f>C29</f>
        <v>0</v>
      </c>
      <c r="G29" s="18" t="str">
        <f t="shared" si="4"/>
        <v>'</v>
      </c>
      <c r="H29" s="450"/>
    </row>
    <row r="30" spans="1:8">
      <c r="A30" s="10" t="s">
        <v>522</v>
      </c>
      <c r="B30" s="37" t="str">
        <f>Language!A991</f>
        <v>QC is performed using ATCC or ATCC-derivative strains</v>
      </c>
      <c r="C30" s="27"/>
      <c r="F30" s="29">
        <f>C30</f>
        <v>0</v>
      </c>
      <c r="G30" s="18" t="str">
        <f t="shared" si="4"/>
        <v>'</v>
      </c>
      <c r="H30" s="450"/>
    </row>
    <row r="31" spans="1:8">
      <c r="A31" s="10"/>
      <c r="B31" s="45" t="str">
        <f>Language!A993</f>
        <v>Staph latex agglutination</v>
      </c>
      <c r="C31" s="75" t="str">
        <f>IF(COUNTBLANK(C32:C35)=4,"???",IF(COUNT(G32:G35)=0,"NA",AVERAGE(G32:G35)))</f>
        <v>???</v>
      </c>
      <c r="H31" s="204"/>
    </row>
    <row r="32" spans="1:8">
      <c r="A32" s="10" t="s">
        <v>1110</v>
      </c>
      <c r="B32" s="37" t="str">
        <f>Language!A988</f>
        <v>Positive control is used</v>
      </c>
      <c r="C32" s="27"/>
      <c r="F32" s="29">
        <f>C32</f>
        <v>0</v>
      </c>
      <c r="G32" s="18" t="str">
        <f t="shared" ref="G32:G35" si="5">IF(F32="Yes",1,IF(F32="No",0,"'"))</f>
        <v>'</v>
      </c>
      <c r="H32" s="450"/>
    </row>
    <row r="33" spans="1:8">
      <c r="A33" s="10" t="s">
        <v>1111</v>
      </c>
      <c r="B33" s="37" t="str">
        <f>Language!A989</f>
        <v>Negative control is used</v>
      </c>
      <c r="C33" s="27"/>
      <c r="F33" s="29">
        <f>C33</f>
        <v>0</v>
      </c>
      <c r="G33" s="18" t="str">
        <f t="shared" si="5"/>
        <v>'</v>
      </c>
      <c r="H33" s="450"/>
    </row>
    <row r="34" spans="1:8">
      <c r="A34" s="10" t="s">
        <v>1112</v>
      </c>
      <c r="B34" s="37" t="str">
        <f>Language!A990</f>
        <v>QC is performed on each new batch/lot number</v>
      </c>
      <c r="C34" s="27"/>
      <c r="F34" s="29">
        <f>C34</f>
        <v>0</v>
      </c>
      <c r="G34" s="18" t="str">
        <f t="shared" si="5"/>
        <v>'</v>
      </c>
      <c r="H34" s="450"/>
    </row>
    <row r="35" spans="1:8">
      <c r="A35" s="10" t="s">
        <v>1113</v>
      </c>
      <c r="B35" s="37" t="str">
        <f>Language!A991</f>
        <v>QC is performed using ATCC or ATCC-derivative strains</v>
      </c>
      <c r="C35" s="27"/>
      <c r="F35" s="29">
        <f>C35</f>
        <v>0</v>
      </c>
      <c r="G35" s="18" t="str">
        <f t="shared" si="5"/>
        <v>'</v>
      </c>
      <c r="H35" s="450"/>
    </row>
    <row r="36" spans="1:8">
      <c r="A36" s="10"/>
      <c r="B36" s="45" t="str">
        <f>Language!A994</f>
        <v>Staph Chromagar</v>
      </c>
      <c r="C36" s="75" t="str">
        <f>IF(COUNTBLANK(C37:C40)=4,"???",IF(COUNT(G37:G40)=0,"NA",AVERAGE(G37:G40)))</f>
        <v>???</v>
      </c>
    </row>
    <row r="37" spans="1:8">
      <c r="A37" s="10" t="s">
        <v>1114</v>
      </c>
      <c r="B37" s="37" t="str">
        <f>Language!A988</f>
        <v>Positive control is used</v>
      </c>
      <c r="C37" s="27"/>
      <c r="F37" s="29">
        <f>C37</f>
        <v>0</v>
      </c>
      <c r="G37" s="18" t="str">
        <f t="shared" ref="G37:G40" si="6">IF(F37="Yes",1,IF(F37="No",0,"'"))</f>
        <v>'</v>
      </c>
      <c r="H37" s="450"/>
    </row>
    <row r="38" spans="1:8">
      <c r="A38" s="10" t="s">
        <v>1115</v>
      </c>
      <c r="B38" s="37" t="str">
        <f>Language!A989</f>
        <v>Negative control is used</v>
      </c>
      <c r="C38" s="27"/>
      <c r="F38" s="29">
        <f>C38</f>
        <v>0</v>
      </c>
      <c r="G38" s="18" t="str">
        <f t="shared" si="6"/>
        <v>'</v>
      </c>
      <c r="H38" s="450"/>
    </row>
    <row r="39" spans="1:8">
      <c r="A39" s="10" t="s">
        <v>1116</v>
      </c>
      <c r="B39" s="37" t="str">
        <f>Language!A990</f>
        <v>QC is performed on each new batch/lot number</v>
      </c>
      <c r="C39" s="27"/>
      <c r="F39" s="29">
        <f>C39</f>
        <v>0</v>
      </c>
      <c r="G39" s="18" t="str">
        <f t="shared" si="6"/>
        <v>'</v>
      </c>
      <c r="H39" s="450"/>
    </row>
    <row r="40" spans="1:8">
      <c r="A40" s="10" t="s">
        <v>1117</v>
      </c>
      <c r="B40" s="37" t="str">
        <f>Language!A991</f>
        <v>QC is performed using ATCC or ATCC-derivative strains</v>
      </c>
      <c r="C40" s="27"/>
      <c r="F40" s="29">
        <f>C40</f>
        <v>0</v>
      </c>
      <c r="G40" s="18" t="str">
        <f t="shared" si="6"/>
        <v>'</v>
      </c>
      <c r="H40" s="450"/>
    </row>
    <row r="41" spans="1:8">
      <c r="A41" s="10"/>
      <c r="B41" s="45" t="str">
        <f>Language!A995</f>
        <v>DNase</v>
      </c>
      <c r="C41" s="75" t="str">
        <f>IF(COUNTBLANK(C42:C45)=4,"???",IF(COUNT(G42:G45)=0,"NA",AVERAGE(G42:G45)))</f>
        <v>???</v>
      </c>
    </row>
    <row r="42" spans="1:8">
      <c r="A42" s="120" t="s">
        <v>1118</v>
      </c>
      <c r="B42" s="37" t="str">
        <f>Language!A988</f>
        <v>Positive control is used</v>
      </c>
      <c r="C42" s="27"/>
      <c r="F42" s="29">
        <f>C42</f>
        <v>0</v>
      </c>
      <c r="G42" s="18" t="str">
        <f t="shared" ref="G42:G45" si="7">IF(F42="Yes",1,IF(F42="No",0,"'"))</f>
        <v>'</v>
      </c>
      <c r="H42" s="450"/>
    </row>
    <row r="43" spans="1:8">
      <c r="A43" s="120" t="s">
        <v>1119</v>
      </c>
      <c r="B43" s="37" t="str">
        <f>Language!A989</f>
        <v>Negative control is used</v>
      </c>
      <c r="C43" s="27"/>
      <c r="F43" s="29">
        <f>C43</f>
        <v>0</v>
      </c>
      <c r="G43" s="18" t="str">
        <f t="shared" si="7"/>
        <v>'</v>
      </c>
      <c r="H43" s="450"/>
    </row>
    <row r="44" spans="1:8">
      <c r="A44" s="120" t="s">
        <v>1120</v>
      </c>
      <c r="B44" s="37" t="str">
        <f>Language!A990</f>
        <v>QC is performed on each new batch/lot number</v>
      </c>
      <c r="C44" s="27"/>
      <c r="F44" s="29">
        <f>C44</f>
        <v>0</v>
      </c>
      <c r="G44" s="18" t="str">
        <f t="shared" si="7"/>
        <v>'</v>
      </c>
      <c r="H44" s="450"/>
    </row>
    <row r="45" spans="1:8">
      <c r="A45" s="120" t="s">
        <v>1121</v>
      </c>
      <c r="B45" s="37" t="str">
        <f>Language!A991</f>
        <v>QC is performed using ATCC or ATCC-derivative strains</v>
      </c>
      <c r="C45" s="27"/>
      <c r="F45" s="29">
        <f>C45</f>
        <v>0</v>
      </c>
      <c r="G45" s="18" t="str">
        <f t="shared" si="7"/>
        <v>'</v>
      </c>
      <c r="H45" s="450"/>
    </row>
    <row r="46" spans="1:8">
      <c r="A46" s="10"/>
      <c r="B46" s="45" t="str">
        <f>Language!A996</f>
        <v>PYR</v>
      </c>
      <c r="C46" s="75" t="str">
        <f>IF(COUNTBLANK(C47:C50)=4,"???",IF(COUNT(G47:G50)=0,"NA",AVERAGE(G47:G50)))</f>
        <v>???</v>
      </c>
    </row>
    <row r="47" spans="1:8">
      <c r="A47" s="77" t="s">
        <v>1122</v>
      </c>
      <c r="B47" s="37" t="str">
        <f>Language!A988</f>
        <v>Positive control is used</v>
      </c>
      <c r="C47" s="27"/>
      <c r="F47" s="29">
        <f>C47</f>
        <v>0</v>
      </c>
      <c r="G47" s="18" t="str">
        <f t="shared" ref="G47:G50" si="8">IF(F47="Yes",1,IF(F47="No",0,"'"))</f>
        <v>'</v>
      </c>
      <c r="H47" s="450"/>
    </row>
    <row r="48" spans="1:8">
      <c r="A48" s="77" t="s">
        <v>1123</v>
      </c>
      <c r="B48" s="37" t="str">
        <f>Language!A989</f>
        <v>Negative control is used</v>
      </c>
      <c r="C48" s="27"/>
      <c r="F48" s="29">
        <f>C48</f>
        <v>0</v>
      </c>
      <c r="G48" s="18" t="str">
        <f t="shared" si="8"/>
        <v>'</v>
      </c>
      <c r="H48" s="450"/>
    </row>
    <row r="49" spans="1:8">
      <c r="A49" s="77" t="s">
        <v>1124</v>
      </c>
      <c r="B49" s="37" t="str">
        <f>Language!A990</f>
        <v>QC is performed on each new batch/lot number</v>
      </c>
      <c r="C49" s="27"/>
      <c r="F49" s="29">
        <f>C49</f>
        <v>0</v>
      </c>
      <c r="G49" s="18" t="str">
        <f t="shared" si="8"/>
        <v>'</v>
      </c>
      <c r="H49" s="450"/>
    </row>
    <row r="50" spans="1:8">
      <c r="A50" s="77" t="s">
        <v>1125</v>
      </c>
      <c r="B50" s="37" t="str">
        <f>Language!A991</f>
        <v>QC is performed using ATCC or ATCC-derivative strains</v>
      </c>
      <c r="C50" s="27"/>
      <c r="F50" s="29">
        <f>C50</f>
        <v>0</v>
      </c>
      <c r="G50" s="18" t="str">
        <f t="shared" si="8"/>
        <v>'</v>
      </c>
      <c r="H50" s="450"/>
    </row>
    <row r="51" spans="1:8">
      <c r="A51" s="10"/>
      <c r="B51" s="45" t="str">
        <f>Language!A997</f>
        <v>Optochin ("P") disk</v>
      </c>
      <c r="C51" s="75" t="str">
        <f>IF(COUNTBLANK(C52:C55)=4,"???",IF(COUNT(G52:G55)=0,"NA",AVERAGE(G52:G55)))</f>
        <v>???</v>
      </c>
    </row>
    <row r="52" spans="1:8">
      <c r="A52" s="77" t="s">
        <v>1126</v>
      </c>
      <c r="B52" s="37" t="str">
        <f>Language!A988</f>
        <v>Positive control is used</v>
      </c>
      <c r="C52" s="27"/>
      <c r="F52" s="29">
        <f>C52</f>
        <v>0</v>
      </c>
      <c r="G52" s="18" t="str">
        <f t="shared" ref="G52:G55" si="9">IF(F52="Yes",1,IF(F52="No",0,"'"))</f>
        <v>'</v>
      </c>
      <c r="H52" s="450"/>
    </row>
    <row r="53" spans="1:8">
      <c r="A53" s="77" t="s">
        <v>1127</v>
      </c>
      <c r="B53" s="37" t="str">
        <f>Language!A989</f>
        <v>Negative control is used</v>
      </c>
      <c r="C53" s="27"/>
      <c r="F53" s="29">
        <f>C53</f>
        <v>0</v>
      </c>
      <c r="G53" s="18" t="str">
        <f t="shared" si="9"/>
        <v>'</v>
      </c>
      <c r="H53" s="450"/>
    </row>
    <row r="54" spans="1:8">
      <c r="A54" s="77" t="s">
        <v>1128</v>
      </c>
      <c r="B54" s="37" t="str">
        <f>Language!A990</f>
        <v>QC is performed on each new batch/lot number</v>
      </c>
      <c r="C54" s="27"/>
      <c r="F54" s="29">
        <f>C54</f>
        <v>0</v>
      </c>
      <c r="G54" s="18" t="str">
        <f t="shared" si="9"/>
        <v>'</v>
      </c>
      <c r="H54" s="450"/>
    </row>
    <row r="55" spans="1:8">
      <c r="A55" s="77" t="s">
        <v>1129</v>
      </c>
      <c r="B55" s="37" t="str">
        <f>Language!A991</f>
        <v>QC is performed using ATCC or ATCC-derivative strains</v>
      </c>
      <c r="C55" s="27"/>
      <c r="F55" s="29">
        <f>C55</f>
        <v>0</v>
      </c>
      <c r="G55" s="18" t="str">
        <f t="shared" si="9"/>
        <v>'</v>
      </c>
      <c r="H55" s="450"/>
    </row>
    <row r="56" spans="1:8">
      <c r="A56" s="10"/>
      <c r="B56" s="45" t="str">
        <f>Language!A998</f>
        <v>Bile solubility (deoxycholate)</v>
      </c>
      <c r="C56" s="75" t="str">
        <f>IF(COUNTBLANK(C57:C60)=4,"???",IF(COUNT(G57:G60)=0,"NA",AVERAGE(G57:G60)))</f>
        <v>???</v>
      </c>
    </row>
    <row r="57" spans="1:8">
      <c r="A57" s="77" t="s">
        <v>1130</v>
      </c>
      <c r="B57" s="37" t="str">
        <f>Language!A988</f>
        <v>Positive control is used</v>
      </c>
      <c r="C57" s="27"/>
      <c r="F57" s="29">
        <f>C57</f>
        <v>0</v>
      </c>
      <c r="G57" s="18" t="str">
        <f t="shared" ref="G57:G60" si="10">IF(F57="Yes",1,IF(F57="No",0,"'"))</f>
        <v>'</v>
      </c>
      <c r="H57" s="450"/>
    </row>
    <row r="58" spans="1:8">
      <c r="A58" s="77" t="s">
        <v>1131</v>
      </c>
      <c r="B58" s="37" t="str">
        <f>Language!A989</f>
        <v>Negative control is used</v>
      </c>
      <c r="C58" s="27"/>
      <c r="F58" s="29">
        <f>C58</f>
        <v>0</v>
      </c>
      <c r="G58" s="18" t="str">
        <f t="shared" si="10"/>
        <v>'</v>
      </c>
      <c r="H58" s="450"/>
    </row>
    <row r="59" spans="1:8">
      <c r="A59" s="77" t="s">
        <v>1132</v>
      </c>
      <c r="B59" s="37" t="str">
        <f>Language!A990</f>
        <v>QC is performed on each new batch/lot number</v>
      </c>
      <c r="C59" s="27"/>
      <c r="F59" s="29">
        <f>C59</f>
        <v>0</v>
      </c>
      <c r="G59" s="18" t="str">
        <f t="shared" si="10"/>
        <v>'</v>
      </c>
      <c r="H59" s="450"/>
    </row>
    <row r="60" spans="1:8">
      <c r="A60" s="77" t="s">
        <v>1133</v>
      </c>
      <c r="B60" s="37" t="str">
        <f>Language!A991</f>
        <v>QC is performed using ATCC or ATCC-derivative strains</v>
      </c>
      <c r="C60" s="27"/>
      <c r="F60" s="29">
        <f>C60</f>
        <v>0</v>
      </c>
      <c r="G60" s="18" t="str">
        <f t="shared" si="10"/>
        <v>'</v>
      </c>
      <c r="H60" s="450"/>
    </row>
    <row r="61" spans="1:8">
      <c r="A61" s="10"/>
      <c r="B61" s="45" t="str">
        <f>Language!A999</f>
        <v>Strep pneumo latex agglutination</v>
      </c>
      <c r="C61" s="75" t="str">
        <f>IF(COUNTBLANK(C62:C65)=4,"???",IF(COUNT(G62:G65)=0,"NA",AVERAGE(G62:G65)))</f>
        <v>???</v>
      </c>
      <c r="H61" s="182"/>
    </row>
    <row r="62" spans="1:8">
      <c r="A62" s="77" t="s">
        <v>1134</v>
      </c>
      <c r="B62" s="37" t="str">
        <f>Language!A988</f>
        <v>Positive control is used</v>
      </c>
      <c r="C62" s="27"/>
      <c r="F62" s="29">
        <f>C62</f>
        <v>0</v>
      </c>
      <c r="G62" s="18" t="str">
        <f t="shared" ref="G62:G65" si="11">IF(F62="Yes",1,IF(F62="No",0,"'"))</f>
        <v>'</v>
      </c>
      <c r="H62" s="450"/>
    </row>
    <row r="63" spans="1:8">
      <c r="A63" s="77" t="s">
        <v>1135</v>
      </c>
      <c r="B63" s="37" t="str">
        <f>Language!A989</f>
        <v>Negative control is used</v>
      </c>
      <c r="C63" s="27"/>
      <c r="F63" s="29">
        <f>C63</f>
        <v>0</v>
      </c>
      <c r="G63" s="18" t="str">
        <f t="shared" si="11"/>
        <v>'</v>
      </c>
      <c r="H63" s="450"/>
    </row>
    <row r="64" spans="1:8">
      <c r="A64" s="77" t="s">
        <v>1136</v>
      </c>
      <c r="B64" s="37" t="str">
        <f>Language!A990</f>
        <v>QC is performed on each new batch/lot number</v>
      </c>
      <c r="C64" s="27"/>
      <c r="F64" s="29">
        <f>C64</f>
        <v>0</v>
      </c>
      <c r="G64" s="18" t="str">
        <f t="shared" si="11"/>
        <v>'</v>
      </c>
      <c r="H64" s="450"/>
    </row>
    <row r="65" spans="1:8">
      <c r="A65" s="77" t="s">
        <v>1137</v>
      </c>
      <c r="B65" s="37" t="str">
        <f>Language!A991</f>
        <v>QC is performed using ATCC or ATCC-derivative strains</v>
      </c>
      <c r="C65" s="27"/>
      <c r="F65" s="29">
        <f>C65</f>
        <v>0</v>
      </c>
      <c r="G65" s="18" t="str">
        <f t="shared" si="11"/>
        <v>'</v>
      </c>
      <c r="H65" s="450"/>
    </row>
    <row r="66" spans="1:8">
      <c r="A66" s="10"/>
      <c r="B66" s="45" t="str">
        <f>Language!A1000</f>
        <v>Oxidase</v>
      </c>
      <c r="C66" s="75" t="str">
        <f>IF(COUNTBLANK(C67:C70)=4,"???",IF(COUNT(G67:G70)=0,"NA",AVERAGE(G67:G70)))</f>
        <v>???</v>
      </c>
      <c r="H66" s="182"/>
    </row>
    <row r="67" spans="1:8">
      <c r="A67" s="77" t="s">
        <v>1138</v>
      </c>
      <c r="B67" s="37" t="str">
        <f>Language!A988</f>
        <v>Positive control is used</v>
      </c>
      <c r="C67" s="27"/>
      <c r="F67" s="29">
        <f>C67</f>
        <v>0</v>
      </c>
      <c r="G67" s="18" t="str">
        <f t="shared" ref="G67:G70" si="12">IF(F67="Yes",1,IF(F67="No",0,"'"))</f>
        <v>'</v>
      </c>
      <c r="H67" s="450"/>
    </row>
    <row r="68" spans="1:8">
      <c r="A68" s="77" t="s">
        <v>1139</v>
      </c>
      <c r="B68" s="37" t="str">
        <f>Language!A989</f>
        <v>Negative control is used</v>
      </c>
      <c r="C68" s="27"/>
      <c r="F68" s="29">
        <f>C68</f>
        <v>0</v>
      </c>
      <c r="G68" s="18" t="str">
        <f t="shared" si="12"/>
        <v>'</v>
      </c>
      <c r="H68" s="450"/>
    </row>
    <row r="69" spans="1:8">
      <c r="A69" s="77" t="s">
        <v>1140</v>
      </c>
      <c r="B69" s="37" t="str">
        <f>Language!A990</f>
        <v>QC is performed on each new batch/lot number</v>
      </c>
      <c r="C69" s="27"/>
      <c r="F69" s="29">
        <f>C69</f>
        <v>0</v>
      </c>
      <c r="G69" s="18" t="str">
        <f t="shared" si="12"/>
        <v>'</v>
      </c>
      <c r="H69" s="450"/>
    </row>
    <row r="70" spans="1:8">
      <c r="A70" s="77" t="s">
        <v>1141</v>
      </c>
      <c r="B70" s="37" t="str">
        <f>Language!A991</f>
        <v>QC is performed using ATCC or ATCC-derivative strains</v>
      </c>
      <c r="C70" s="27"/>
      <c r="F70" s="29">
        <f>C70</f>
        <v>0</v>
      </c>
      <c r="G70" s="18" t="str">
        <f t="shared" si="12"/>
        <v>'</v>
      </c>
      <c r="H70" s="450"/>
    </row>
    <row r="71" spans="1:8">
      <c r="A71" s="10"/>
      <c r="B71" s="45" t="str">
        <f>Language!A1001</f>
        <v>Indole reagents</v>
      </c>
      <c r="C71" s="75" t="str">
        <f>IF(COUNTBLANK(C72:C75)=4,"???",IF(COUNT(G72:G75)=0,"NA",AVERAGE(G72:G75)))</f>
        <v>???</v>
      </c>
    </row>
    <row r="72" spans="1:8">
      <c r="A72" s="77" t="s">
        <v>1142</v>
      </c>
      <c r="B72" s="37" t="str">
        <f>Language!A988</f>
        <v>Positive control is used</v>
      </c>
      <c r="C72" s="27"/>
      <c r="F72" s="29">
        <f>C72</f>
        <v>0</v>
      </c>
      <c r="G72" s="18" t="str">
        <f t="shared" ref="G72:G75" si="13">IF(F72="Yes",1,IF(F72="No",0,"'"))</f>
        <v>'</v>
      </c>
      <c r="H72" s="450"/>
    </row>
    <row r="73" spans="1:8">
      <c r="A73" s="77" t="s">
        <v>1143</v>
      </c>
      <c r="B73" s="37" t="str">
        <f>Language!A989</f>
        <v>Negative control is used</v>
      </c>
      <c r="C73" s="27"/>
      <c r="F73" s="29">
        <f>C73</f>
        <v>0</v>
      </c>
      <c r="G73" s="18" t="str">
        <f t="shared" si="13"/>
        <v>'</v>
      </c>
      <c r="H73" s="450"/>
    </row>
    <row r="74" spans="1:8">
      <c r="A74" s="77" t="s">
        <v>1144</v>
      </c>
      <c r="B74" s="37" t="str">
        <f>Language!A990</f>
        <v>QC is performed on each new batch/lot number</v>
      </c>
      <c r="C74" s="27"/>
      <c r="F74" s="29">
        <f>C74</f>
        <v>0</v>
      </c>
      <c r="G74" s="18" t="str">
        <f t="shared" si="13"/>
        <v>'</v>
      </c>
      <c r="H74" s="450"/>
    </row>
    <row r="75" spans="1:8">
      <c r="A75" s="77" t="s">
        <v>1145</v>
      </c>
      <c r="B75" s="37" t="str">
        <f>Language!A991</f>
        <v>QC is performed using ATCC or ATCC-derivative strains</v>
      </c>
      <c r="C75" s="27"/>
      <c r="F75" s="29">
        <f>C75</f>
        <v>0</v>
      </c>
      <c r="G75" s="18" t="str">
        <f t="shared" si="13"/>
        <v>'</v>
      </c>
      <c r="H75" s="450"/>
    </row>
    <row r="76" spans="1:8">
      <c r="A76" s="10"/>
      <c r="B76" s="45" t="str">
        <f>Language!A1002</f>
        <v>Methyl Red</v>
      </c>
      <c r="C76" s="75" t="str">
        <f>IF(COUNTBLANK(C77:C80)=4,"???",IF(COUNT(G77:G80)=0,"NA",AVERAGE(G77:G80)))</f>
        <v>???</v>
      </c>
    </row>
    <row r="77" spans="1:8">
      <c r="A77" s="77" t="s">
        <v>1146</v>
      </c>
      <c r="B77" s="37" t="str">
        <f>Language!A988</f>
        <v>Positive control is used</v>
      </c>
      <c r="C77" s="27"/>
      <c r="F77" s="29">
        <f>C77</f>
        <v>0</v>
      </c>
      <c r="G77" s="18" t="str">
        <f t="shared" ref="G77:G80" si="14">IF(F77="Yes",1,IF(F77="No",0,"'"))</f>
        <v>'</v>
      </c>
      <c r="H77" s="450"/>
    </row>
    <row r="78" spans="1:8">
      <c r="A78" s="77" t="s">
        <v>1147</v>
      </c>
      <c r="B78" s="37" t="str">
        <f>Language!A989</f>
        <v>Negative control is used</v>
      </c>
      <c r="C78" s="27"/>
      <c r="F78" s="29">
        <f>C78</f>
        <v>0</v>
      </c>
      <c r="G78" s="18" t="str">
        <f t="shared" si="14"/>
        <v>'</v>
      </c>
      <c r="H78" s="450"/>
    </row>
    <row r="79" spans="1:8">
      <c r="A79" s="77" t="s">
        <v>1148</v>
      </c>
      <c r="B79" s="37" t="str">
        <f>Language!A990</f>
        <v>QC is performed on each new batch/lot number</v>
      </c>
      <c r="C79" s="27"/>
      <c r="F79" s="29">
        <f>C79</f>
        <v>0</v>
      </c>
      <c r="G79" s="18" t="str">
        <f t="shared" si="14"/>
        <v>'</v>
      </c>
      <c r="H79" s="450"/>
    </row>
    <row r="80" spans="1:8">
      <c r="A80" s="77" t="s">
        <v>1149</v>
      </c>
      <c r="B80" s="37" t="str">
        <f>Language!A991</f>
        <v>QC is performed using ATCC or ATCC-derivative strains</v>
      </c>
      <c r="C80" s="27"/>
      <c r="F80" s="29">
        <f>C80</f>
        <v>0</v>
      </c>
      <c r="G80" s="18" t="str">
        <f t="shared" si="14"/>
        <v>'</v>
      </c>
      <c r="H80" s="450"/>
    </row>
    <row r="81" spans="1:8">
      <c r="A81" s="10"/>
      <c r="B81" s="24" t="str">
        <f>Language!A1003</f>
        <v>Voges-Proskauer</v>
      </c>
      <c r="C81" s="75" t="str">
        <f>IF(COUNTBLANK(C82:C85)=4,"???",IF(COUNT(G82:G85)=0,"NA",AVERAGE(G82:G85)))</f>
        <v>???</v>
      </c>
    </row>
    <row r="82" spans="1:8">
      <c r="A82" s="77" t="s">
        <v>1150</v>
      </c>
      <c r="B82" s="37" t="str">
        <f>Language!A988</f>
        <v>Positive control is used</v>
      </c>
      <c r="C82" s="27"/>
      <c r="F82" s="29">
        <f>C82</f>
        <v>0</v>
      </c>
      <c r="G82" s="18" t="str">
        <f t="shared" ref="G82:G85" si="15">IF(F82="Yes",1,IF(F82="No",0,"'"))</f>
        <v>'</v>
      </c>
      <c r="H82" s="450"/>
    </row>
    <row r="83" spans="1:8">
      <c r="A83" s="77" t="s">
        <v>1151</v>
      </c>
      <c r="B83" s="37" t="str">
        <f>Language!A989</f>
        <v>Negative control is used</v>
      </c>
      <c r="C83" s="27"/>
      <c r="F83" s="29">
        <f>C83</f>
        <v>0</v>
      </c>
      <c r="G83" s="18" t="str">
        <f t="shared" si="15"/>
        <v>'</v>
      </c>
      <c r="H83" s="450"/>
    </row>
    <row r="84" spans="1:8">
      <c r="A84" s="77" t="s">
        <v>1152</v>
      </c>
      <c r="B84" s="37" t="str">
        <f>Language!A990</f>
        <v>QC is performed on each new batch/lot number</v>
      </c>
      <c r="C84" s="27"/>
      <c r="F84" s="29">
        <f>C84</f>
        <v>0</v>
      </c>
      <c r="G84" s="18" t="str">
        <f t="shared" si="15"/>
        <v>'</v>
      </c>
      <c r="H84" s="450"/>
    </row>
    <row r="85" spans="1:8">
      <c r="A85" s="77" t="s">
        <v>1153</v>
      </c>
      <c r="B85" s="37" t="str">
        <f>Language!A991</f>
        <v>QC is performed using ATCC or ATCC-derivative strains</v>
      </c>
      <c r="C85" s="27"/>
      <c r="F85" s="29">
        <f>C85</f>
        <v>0</v>
      </c>
      <c r="G85" s="18" t="str">
        <f t="shared" si="15"/>
        <v>'</v>
      </c>
      <c r="H85" s="450"/>
    </row>
    <row r="86" spans="1:8">
      <c r="A86" s="10"/>
      <c r="B86" s="24" t="str">
        <f>Language!A1004</f>
        <v>Citrate</v>
      </c>
      <c r="C86" s="75" t="str">
        <f>IF(COUNTBLANK(C87:C90)=4,"???",IF(COUNT(G87:G90)=0,"NA",AVERAGE(G87:G90)))</f>
        <v>???</v>
      </c>
    </row>
    <row r="87" spans="1:8">
      <c r="A87" s="77" t="s">
        <v>1154</v>
      </c>
      <c r="B87" s="37" t="str">
        <f>Language!A988</f>
        <v>Positive control is used</v>
      </c>
      <c r="C87" s="27"/>
      <c r="F87" s="29">
        <f>C87</f>
        <v>0</v>
      </c>
      <c r="G87" s="18" t="str">
        <f t="shared" ref="G87:G90" si="16">IF(F87="Yes",1,IF(F87="No",0,"'"))</f>
        <v>'</v>
      </c>
      <c r="H87" s="450"/>
    </row>
    <row r="88" spans="1:8">
      <c r="A88" s="77" t="s">
        <v>1155</v>
      </c>
      <c r="B88" s="37" t="str">
        <f>Language!A989</f>
        <v>Negative control is used</v>
      </c>
      <c r="C88" s="27"/>
      <c r="F88" s="29">
        <f>C88</f>
        <v>0</v>
      </c>
      <c r="G88" s="18" t="str">
        <f t="shared" si="16"/>
        <v>'</v>
      </c>
      <c r="H88" s="450"/>
    </row>
    <row r="89" spans="1:8">
      <c r="A89" s="77" t="s">
        <v>1156</v>
      </c>
      <c r="B89" s="37" t="str">
        <f>Language!A990</f>
        <v>QC is performed on each new batch/lot number</v>
      </c>
      <c r="C89" s="27"/>
      <c r="F89" s="29">
        <f>C89</f>
        <v>0</v>
      </c>
      <c r="G89" s="18" t="str">
        <f t="shared" si="16"/>
        <v>'</v>
      </c>
      <c r="H89" s="450"/>
    </row>
    <row r="90" spans="1:8">
      <c r="A90" s="77" t="s">
        <v>1157</v>
      </c>
      <c r="B90" s="37" t="str">
        <f>Language!A991</f>
        <v>QC is performed using ATCC or ATCC-derivative strains</v>
      </c>
      <c r="C90" s="27"/>
      <c r="F90" s="29">
        <f>C90</f>
        <v>0</v>
      </c>
      <c r="G90" s="18" t="str">
        <f t="shared" si="16"/>
        <v>'</v>
      </c>
      <c r="H90" s="450"/>
    </row>
    <row r="91" spans="1:8">
      <c r="A91" s="10"/>
      <c r="B91" s="24" t="str">
        <f>Language!A1005</f>
        <v>Triple Sugar Iron agar or Kligler Iron Agar</v>
      </c>
      <c r="C91" s="75" t="str">
        <f>IF(COUNTBLANK(C92:C95)=4,"???",IF(COUNT(G92:G95)=0,"NA",AVERAGE(G92:G95)))</f>
        <v>???</v>
      </c>
    </row>
    <row r="92" spans="1:8">
      <c r="A92" s="77" t="s">
        <v>1158</v>
      </c>
      <c r="B92" s="37" t="str">
        <f>Language!A988</f>
        <v>Positive control is used</v>
      </c>
      <c r="C92" s="27"/>
      <c r="F92" s="29">
        <f>C92</f>
        <v>0</v>
      </c>
      <c r="G92" s="18" t="str">
        <f t="shared" ref="G92:G95" si="17">IF(F92="Yes",1,IF(F92="No",0,"'"))</f>
        <v>'</v>
      </c>
      <c r="H92" s="450"/>
    </row>
    <row r="93" spans="1:8">
      <c r="A93" s="77" t="s">
        <v>1159</v>
      </c>
      <c r="B93" s="37" t="str">
        <f>Language!A989</f>
        <v>Negative control is used</v>
      </c>
      <c r="C93" s="27"/>
      <c r="F93" s="29">
        <f>C93</f>
        <v>0</v>
      </c>
      <c r="G93" s="18" t="str">
        <f t="shared" si="17"/>
        <v>'</v>
      </c>
      <c r="H93" s="450"/>
    </row>
    <row r="94" spans="1:8">
      <c r="A94" s="77" t="s">
        <v>1160</v>
      </c>
      <c r="B94" s="37" t="str">
        <f>Language!A990</f>
        <v>QC is performed on each new batch/lot number</v>
      </c>
      <c r="C94" s="27"/>
      <c r="F94" s="29">
        <f>C94</f>
        <v>0</v>
      </c>
      <c r="G94" s="18" t="str">
        <f t="shared" si="17"/>
        <v>'</v>
      </c>
      <c r="H94" s="450"/>
    </row>
    <row r="95" spans="1:8">
      <c r="A95" s="77" t="s">
        <v>1161</v>
      </c>
      <c r="B95" s="37" t="str">
        <f>Language!A991</f>
        <v>QC is performed using ATCC or ATCC-derivative strains</v>
      </c>
      <c r="C95" s="27"/>
      <c r="F95" s="29">
        <f>C95</f>
        <v>0</v>
      </c>
      <c r="G95" s="18" t="str">
        <f t="shared" si="17"/>
        <v>'</v>
      </c>
      <c r="H95" s="450"/>
    </row>
    <row r="96" spans="1:8">
      <c r="A96" s="10"/>
      <c r="B96" s="24" t="str">
        <f>Language!A1006</f>
        <v>Urease</v>
      </c>
      <c r="C96" s="75" t="str">
        <f>IF(COUNTBLANK(C97:C100)=4,"???",IF(COUNT(G97:G100)=0,"NA",AVERAGE(G97:G100)))</f>
        <v>???</v>
      </c>
    </row>
    <row r="97" spans="1:8">
      <c r="A97" s="77" t="s">
        <v>1162</v>
      </c>
      <c r="B97" s="37" t="str">
        <f>Language!A988</f>
        <v>Positive control is used</v>
      </c>
      <c r="C97" s="27"/>
      <c r="F97" s="29">
        <f>C97</f>
        <v>0</v>
      </c>
      <c r="G97" s="18" t="str">
        <f t="shared" ref="G97:G100" si="18">IF(F97="Yes",1,IF(F97="No",0,"'"))</f>
        <v>'</v>
      </c>
      <c r="H97" s="450"/>
    </row>
    <row r="98" spans="1:8">
      <c r="A98" s="77" t="s">
        <v>1163</v>
      </c>
      <c r="B98" s="37" t="str">
        <f>Language!A989</f>
        <v>Negative control is used</v>
      </c>
      <c r="C98" s="27"/>
      <c r="F98" s="29">
        <f>C98</f>
        <v>0</v>
      </c>
      <c r="G98" s="18" t="str">
        <f t="shared" si="18"/>
        <v>'</v>
      </c>
      <c r="H98" s="450"/>
    </row>
    <row r="99" spans="1:8">
      <c r="A99" s="77" t="s">
        <v>1164</v>
      </c>
      <c r="B99" s="37" t="str">
        <f>Language!A990</f>
        <v>QC is performed on each new batch/lot number</v>
      </c>
      <c r="C99" s="27"/>
      <c r="F99" s="29">
        <f>C99</f>
        <v>0</v>
      </c>
      <c r="G99" s="18" t="str">
        <f t="shared" si="18"/>
        <v>'</v>
      </c>
      <c r="H99" s="450"/>
    </row>
    <row r="100" spans="1:8">
      <c r="A100" s="77" t="s">
        <v>1165</v>
      </c>
      <c r="B100" s="37" t="str">
        <f>Language!A991</f>
        <v>QC is performed using ATCC or ATCC-derivative strains</v>
      </c>
      <c r="C100" s="27"/>
      <c r="F100" s="29">
        <f>C100</f>
        <v>0</v>
      </c>
      <c r="G100" s="18" t="str">
        <f t="shared" si="18"/>
        <v>'</v>
      </c>
      <c r="H100" s="450"/>
    </row>
    <row r="101" spans="1:8">
      <c r="A101" s="10"/>
      <c r="B101" s="24" t="str">
        <f>Language!A1007</f>
        <v>Motility</v>
      </c>
      <c r="C101" s="75" t="str">
        <f>IF(COUNTBLANK(C102:C105)=4,"???",IF(COUNT(G102:G105)=0,"NA",AVERAGE(G102:G105)))</f>
        <v>???</v>
      </c>
    </row>
    <row r="102" spans="1:8">
      <c r="A102" s="77" t="s">
        <v>1166</v>
      </c>
      <c r="B102" s="37" t="str">
        <f>Language!A988</f>
        <v>Positive control is used</v>
      </c>
      <c r="C102" s="27"/>
      <c r="F102" s="29">
        <f>C102</f>
        <v>0</v>
      </c>
      <c r="G102" s="18" t="str">
        <f t="shared" ref="G102:G105" si="19">IF(F102="Yes",1,IF(F102="No",0,"'"))</f>
        <v>'</v>
      </c>
      <c r="H102" s="450"/>
    </row>
    <row r="103" spans="1:8">
      <c r="A103" s="77" t="s">
        <v>1167</v>
      </c>
      <c r="B103" s="37" t="str">
        <f>Language!A989</f>
        <v>Negative control is used</v>
      </c>
      <c r="C103" s="27"/>
      <c r="F103" s="29">
        <f>C103</f>
        <v>0</v>
      </c>
      <c r="G103" s="18" t="str">
        <f t="shared" si="19"/>
        <v>'</v>
      </c>
      <c r="H103" s="450"/>
    </row>
    <row r="104" spans="1:8">
      <c r="A104" s="77" t="s">
        <v>1168</v>
      </c>
      <c r="B104" s="37" t="str">
        <f>Language!A990</f>
        <v>QC is performed on each new batch/lot number</v>
      </c>
      <c r="C104" s="27"/>
      <c r="F104" s="29">
        <f>C104</f>
        <v>0</v>
      </c>
      <c r="G104" s="18" t="str">
        <f t="shared" si="19"/>
        <v>'</v>
      </c>
      <c r="H104" s="450"/>
    </row>
    <row r="105" spans="1:8">
      <c r="A105" s="77" t="s">
        <v>1169</v>
      </c>
      <c r="B105" s="37" t="str">
        <f>Language!A991</f>
        <v>QC is performed using ATCC or ATCC-derivative strains</v>
      </c>
      <c r="C105" s="27"/>
      <c r="F105" s="29">
        <f>C105</f>
        <v>0</v>
      </c>
      <c r="G105" s="18" t="str">
        <f t="shared" si="19"/>
        <v>'</v>
      </c>
      <c r="H105" s="450"/>
    </row>
    <row r="106" spans="1:8">
      <c r="A106" s="10"/>
      <c r="B106" s="24" t="str">
        <f>Language!A1008</f>
        <v>Lysine Iron Agar (LIA) or Lysine decarboxylase (LDC)</v>
      </c>
      <c r="C106" s="75" t="str">
        <f>IF(COUNTBLANK(C107:C110)=4,"???",IF(COUNT(G107:G110)=0,"NA",AVERAGE(G107:G110)))</f>
        <v>???</v>
      </c>
    </row>
    <row r="107" spans="1:8">
      <c r="A107" s="77" t="s">
        <v>1170</v>
      </c>
      <c r="B107" s="37" t="str">
        <f>Language!A988</f>
        <v>Positive control is used</v>
      </c>
      <c r="C107" s="27"/>
      <c r="F107" s="29">
        <f>C107</f>
        <v>0</v>
      </c>
      <c r="G107" s="18" t="str">
        <f t="shared" ref="G107:G110" si="20">IF(F107="Yes",1,IF(F107="No",0,"'"))</f>
        <v>'</v>
      </c>
      <c r="H107" s="450"/>
    </row>
    <row r="108" spans="1:8">
      <c r="A108" s="77" t="s">
        <v>1171</v>
      </c>
      <c r="B108" s="37" t="str">
        <f>Language!A989</f>
        <v>Negative control is used</v>
      </c>
      <c r="C108" s="27"/>
      <c r="F108" s="29">
        <f>C108</f>
        <v>0</v>
      </c>
      <c r="G108" s="18" t="str">
        <f t="shared" si="20"/>
        <v>'</v>
      </c>
      <c r="H108" s="450"/>
    </row>
    <row r="109" spans="1:8">
      <c r="A109" s="77" t="s">
        <v>1172</v>
      </c>
      <c r="B109" s="37" t="str">
        <f>Language!A990</f>
        <v>QC is performed on each new batch/lot number</v>
      </c>
      <c r="C109" s="27"/>
      <c r="F109" s="29">
        <f>C109</f>
        <v>0</v>
      </c>
      <c r="G109" s="18" t="str">
        <f t="shared" si="20"/>
        <v>'</v>
      </c>
      <c r="H109" s="450"/>
    </row>
    <row r="110" spans="1:8">
      <c r="A110" s="77" t="s">
        <v>1173</v>
      </c>
      <c r="B110" s="37" t="str">
        <f>Language!A991</f>
        <v>QC is performed using ATCC or ATCC-derivative strains</v>
      </c>
      <c r="C110" s="27"/>
      <c r="F110" s="29">
        <f>C110</f>
        <v>0</v>
      </c>
      <c r="G110" s="18" t="str">
        <f t="shared" si="20"/>
        <v>'</v>
      </c>
      <c r="H110" s="450"/>
    </row>
    <row r="111" spans="1:8">
      <c r="A111" s="10"/>
      <c r="B111" s="24" t="str">
        <f>Language!A1009</f>
        <v>Glucose or Dextrose Oxidative-Fermentative (OF) test</v>
      </c>
      <c r="C111" s="75" t="str">
        <f>IF(COUNTBLANK(C112:C115)=4,"???",IF(COUNT(G112:G115)=0,"NA",AVERAGE(G112:G115)))</f>
        <v>???</v>
      </c>
    </row>
    <row r="112" spans="1:8">
      <c r="A112" s="77" t="s">
        <v>1174</v>
      </c>
      <c r="B112" s="37" t="str">
        <f>Language!A988</f>
        <v>Positive control is used</v>
      </c>
      <c r="C112" s="27"/>
      <c r="F112" s="29">
        <f>C112</f>
        <v>0</v>
      </c>
      <c r="G112" s="18" t="str">
        <f t="shared" ref="G112:G115" si="21">IF(F112="Yes",1,IF(F112="No",0,"'"))</f>
        <v>'</v>
      </c>
      <c r="H112" s="450"/>
    </row>
    <row r="113" spans="1:8">
      <c r="A113" s="77" t="s">
        <v>1175</v>
      </c>
      <c r="B113" s="37" t="str">
        <f>Language!A989</f>
        <v>Negative control is used</v>
      </c>
      <c r="C113" s="27"/>
      <c r="F113" s="29">
        <f>C113</f>
        <v>0</v>
      </c>
      <c r="G113" s="18" t="str">
        <f t="shared" si="21"/>
        <v>'</v>
      </c>
      <c r="H113" s="450"/>
    </row>
    <row r="114" spans="1:8">
      <c r="A114" s="77" t="s">
        <v>1176</v>
      </c>
      <c r="B114" s="37" t="str">
        <f>Language!A990</f>
        <v>QC is performed on each new batch/lot number</v>
      </c>
      <c r="C114" s="27"/>
      <c r="F114" s="29">
        <f>C114</f>
        <v>0</v>
      </c>
      <c r="G114" s="18" t="str">
        <f t="shared" si="21"/>
        <v>'</v>
      </c>
      <c r="H114" s="450"/>
    </row>
    <row r="115" spans="1:8">
      <c r="A115" s="77" t="s">
        <v>1177</v>
      </c>
      <c r="B115" s="37" t="str">
        <f>Language!A991</f>
        <v>QC is performed using ATCC or ATCC-derivative strains</v>
      </c>
      <c r="C115" s="27"/>
      <c r="F115" s="29">
        <f>C115</f>
        <v>0</v>
      </c>
      <c r="G115" s="18" t="str">
        <f t="shared" si="21"/>
        <v>'</v>
      </c>
      <c r="H115" s="450"/>
    </row>
    <row r="116" spans="1:8">
      <c r="A116" s="10"/>
      <c r="B116" s="24" t="str">
        <f>Language!A1010</f>
        <v>Nitrate reduction</v>
      </c>
      <c r="C116" s="75" t="str">
        <f>IF(COUNTBLANK(C117:C120)=4,"???",IF(COUNT(G117:G120)=0,"NA",AVERAGE(G117:G120)))</f>
        <v>???</v>
      </c>
    </row>
    <row r="117" spans="1:8">
      <c r="A117" s="77" t="s">
        <v>1178</v>
      </c>
      <c r="B117" s="37" t="str">
        <f>Language!A988</f>
        <v>Positive control is used</v>
      </c>
      <c r="C117" s="27"/>
      <c r="F117" s="29">
        <f>C117</f>
        <v>0</v>
      </c>
      <c r="G117" s="18" t="str">
        <f t="shared" ref="G117:G120" si="22">IF(F117="Yes",1,IF(F117="No",0,"'"))</f>
        <v>'</v>
      </c>
      <c r="H117" s="450"/>
    </row>
    <row r="118" spans="1:8">
      <c r="A118" s="77" t="s">
        <v>1179</v>
      </c>
      <c r="B118" s="37" t="str">
        <f>Language!A989</f>
        <v>Negative control is used</v>
      </c>
      <c r="C118" s="27"/>
      <c r="F118" s="29">
        <f>C118</f>
        <v>0</v>
      </c>
      <c r="G118" s="18" t="str">
        <f t="shared" si="22"/>
        <v>'</v>
      </c>
      <c r="H118" s="450"/>
    </row>
    <row r="119" spans="1:8">
      <c r="A119" s="77" t="s">
        <v>1180</v>
      </c>
      <c r="B119" s="37" t="str">
        <f>Language!A990</f>
        <v>QC is performed on each new batch/lot number</v>
      </c>
      <c r="C119" s="27"/>
      <c r="F119" s="29">
        <f>C119</f>
        <v>0</v>
      </c>
      <c r="G119" s="18" t="str">
        <f t="shared" si="22"/>
        <v>'</v>
      </c>
      <c r="H119" s="450"/>
    </row>
    <row r="120" spans="1:8">
      <c r="A120" s="77" t="s">
        <v>1181</v>
      </c>
      <c r="B120" s="37" t="str">
        <f>Language!A991</f>
        <v>QC is performed using ATCC or ATCC-derivative strains</v>
      </c>
      <c r="C120" s="27"/>
      <c r="F120" s="29">
        <f>C120</f>
        <v>0</v>
      </c>
      <c r="G120" s="18" t="str">
        <f t="shared" si="22"/>
        <v>'</v>
      </c>
      <c r="H120" s="450"/>
    </row>
    <row r="121" spans="1:8">
      <c r="A121" s="10"/>
      <c r="B121" s="24" t="str">
        <f>Language!A1011</f>
        <v>Gelatin hydrolysis</v>
      </c>
      <c r="C121" s="75" t="str">
        <f>IF(COUNTBLANK(C122:C125)=4,"???",IF(COUNT(G122:G125)=0,"NA",AVERAGE(G122:G125)))</f>
        <v>???</v>
      </c>
    </row>
    <row r="122" spans="1:8">
      <c r="A122" s="77" t="s">
        <v>1182</v>
      </c>
      <c r="B122" s="37" t="str">
        <f>Language!A988</f>
        <v>Positive control is used</v>
      </c>
      <c r="C122" s="27"/>
      <c r="F122" s="29">
        <f>C122</f>
        <v>0</v>
      </c>
      <c r="G122" s="18" t="str">
        <f t="shared" ref="G122:G125" si="23">IF(F122="Yes",1,IF(F122="No",0,"'"))</f>
        <v>'</v>
      </c>
      <c r="H122" s="450"/>
    </row>
    <row r="123" spans="1:8">
      <c r="A123" s="77" t="s">
        <v>1183</v>
      </c>
      <c r="B123" s="37" t="str">
        <f>Language!A989</f>
        <v>Negative control is used</v>
      </c>
      <c r="C123" s="27"/>
      <c r="F123" s="29">
        <f>C123</f>
        <v>0</v>
      </c>
      <c r="G123" s="18" t="str">
        <f t="shared" si="23"/>
        <v>'</v>
      </c>
      <c r="H123" s="450"/>
    </row>
    <row r="124" spans="1:8">
      <c r="A124" s="77" t="s">
        <v>2279</v>
      </c>
      <c r="B124" s="37" t="str">
        <f>Language!A990</f>
        <v>QC is performed on each new batch/lot number</v>
      </c>
      <c r="C124" s="27"/>
      <c r="F124" s="29">
        <f>C124</f>
        <v>0</v>
      </c>
      <c r="G124" s="18" t="str">
        <f t="shared" si="23"/>
        <v>'</v>
      </c>
      <c r="H124" s="450"/>
    </row>
    <row r="125" spans="1:8">
      <c r="A125" s="77" t="s">
        <v>2280</v>
      </c>
      <c r="B125" s="37" t="str">
        <f>Language!A991</f>
        <v>QC is performed using ATCC or ATCC-derivative strains</v>
      </c>
      <c r="C125" s="27"/>
      <c r="F125" s="29">
        <f>C125</f>
        <v>0</v>
      </c>
      <c r="G125" s="18" t="str">
        <f t="shared" si="23"/>
        <v>'</v>
      </c>
      <c r="H125" s="450"/>
    </row>
    <row r="126" spans="1:8">
      <c r="A126" s="10"/>
      <c r="B126" s="24" t="str">
        <f>Language!A1012</f>
        <v xml:space="preserve">Chloramphenicol resistance (disk) </v>
      </c>
      <c r="C126" s="75" t="str">
        <f>IF(COUNTBLANK(C127:C130)=4,"???",IF(COUNT(G127:G130)=0,"NA",AVERAGE(G127:G130)))</f>
        <v>???</v>
      </c>
    </row>
    <row r="127" spans="1:8">
      <c r="A127" s="77" t="s">
        <v>2281</v>
      </c>
      <c r="B127" s="37" t="str">
        <f>Language!A988</f>
        <v>Positive control is used</v>
      </c>
      <c r="C127" s="27"/>
      <c r="F127" s="29">
        <f>C127</f>
        <v>0</v>
      </c>
      <c r="G127" s="18" t="str">
        <f t="shared" ref="G127:G130" si="24">IF(F127="Yes",1,IF(F127="No",0,"'"))</f>
        <v>'</v>
      </c>
      <c r="H127" s="450"/>
    </row>
    <row r="128" spans="1:8">
      <c r="A128" s="77" t="s">
        <v>2282</v>
      </c>
      <c r="B128" s="37" t="str">
        <f>Language!A989</f>
        <v>Negative control is used</v>
      </c>
      <c r="C128" s="27"/>
      <c r="F128" s="29">
        <f>C128</f>
        <v>0</v>
      </c>
      <c r="G128" s="18" t="str">
        <f t="shared" si="24"/>
        <v>'</v>
      </c>
      <c r="H128" s="450"/>
    </row>
    <row r="129" spans="1:8">
      <c r="A129" s="77" t="s">
        <v>2283</v>
      </c>
      <c r="B129" s="37" t="str">
        <f>Language!A990</f>
        <v>QC is performed on each new batch/lot number</v>
      </c>
      <c r="C129" s="27"/>
      <c r="F129" s="29">
        <f>C129</f>
        <v>0</v>
      </c>
      <c r="G129" s="18" t="str">
        <f t="shared" si="24"/>
        <v>'</v>
      </c>
      <c r="H129" s="450"/>
    </row>
    <row r="130" spans="1:8">
      <c r="A130" s="77" t="s">
        <v>2284</v>
      </c>
      <c r="B130" s="37" t="str">
        <f>Language!A991</f>
        <v>QC is performed using ATCC or ATCC-derivative strains</v>
      </c>
      <c r="C130" s="27"/>
      <c r="F130" s="29">
        <f>C130</f>
        <v>0</v>
      </c>
      <c r="G130" s="18" t="str">
        <f t="shared" si="24"/>
        <v>'</v>
      </c>
      <c r="H130" s="450"/>
    </row>
    <row r="131" spans="1:8">
      <c r="A131" s="10"/>
      <c r="B131" s="24" t="str">
        <f>Language!A1013</f>
        <v>Growth at 42°C</v>
      </c>
      <c r="C131" s="75" t="str">
        <f>IF(COUNTBLANK(C132:C135)=4,"???",IF(COUNT(G132:G135)=0,"NA",AVERAGE(G132:G135)))</f>
        <v>???</v>
      </c>
    </row>
    <row r="132" spans="1:8">
      <c r="A132" s="77" t="s">
        <v>2285</v>
      </c>
      <c r="B132" s="37" t="str">
        <f>Language!A988</f>
        <v>Positive control is used</v>
      </c>
      <c r="C132" s="27"/>
      <c r="F132" s="29">
        <f>C132</f>
        <v>0</v>
      </c>
      <c r="G132" s="18" t="str">
        <f t="shared" ref="G132:G135" si="25">IF(F132="Yes",1,IF(F132="No",0,"'"))</f>
        <v>'</v>
      </c>
      <c r="H132" s="450"/>
    </row>
    <row r="133" spans="1:8">
      <c r="A133" s="77" t="s">
        <v>2286</v>
      </c>
      <c r="B133" s="37" t="str">
        <f>Language!A989</f>
        <v>Negative control is used</v>
      </c>
      <c r="C133" s="27"/>
      <c r="F133" s="29">
        <f>C133</f>
        <v>0</v>
      </c>
      <c r="G133" s="18" t="str">
        <f t="shared" si="25"/>
        <v>'</v>
      </c>
      <c r="H133" s="450"/>
    </row>
    <row r="134" spans="1:8">
      <c r="A134" s="77" t="s">
        <v>2287</v>
      </c>
      <c r="B134" s="37" t="str">
        <f>Language!A990</f>
        <v>QC is performed on each new batch/lot number</v>
      </c>
      <c r="C134" s="27"/>
      <c r="F134" s="29">
        <f>C134</f>
        <v>0</v>
      </c>
      <c r="G134" s="18" t="str">
        <f t="shared" si="25"/>
        <v>'</v>
      </c>
      <c r="H134" s="450"/>
    </row>
    <row r="135" spans="1:8">
      <c r="A135" s="77" t="s">
        <v>2288</v>
      </c>
      <c r="B135" s="37" t="str">
        <f>Language!A991</f>
        <v>QC is performed using ATCC or ATCC-derivative strains</v>
      </c>
      <c r="C135" s="27"/>
      <c r="F135" s="29">
        <f>C135</f>
        <v>0</v>
      </c>
      <c r="G135" s="18" t="str">
        <f t="shared" si="25"/>
        <v>'</v>
      </c>
      <c r="H135" s="450"/>
    </row>
    <row r="136" spans="1:8" ht="20.399999999999999" customHeight="1">
      <c r="A136" s="10"/>
      <c r="B136" s="49" t="str">
        <f>Language!A1014</f>
        <v>Standard: CAP MIC.21624 Positive and negative controls must be tested and recorded for all differential test procedures. Controls must be performed and recorded at the specific periodic intervals listed for the tests.</v>
      </c>
    </row>
    <row r="137" spans="1:8" ht="16.2" thickBot="1">
      <c r="A137" s="10"/>
      <c r="B137" s="48"/>
      <c r="H137" s="175"/>
    </row>
    <row r="138" spans="1:8" ht="16.2" thickBot="1">
      <c r="A138" s="166"/>
      <c r="B138" s="84" t="str">
        <f>Language!A1015</f>
        <v>QC OF ENTERIC SEROLOGY</v>
      </c>
      <c r="C138" s="73" t="str">
        <f>IF((OR(C141="???",C146="???")),"???",IF(COUNT(G142:G150)=0,"NA",AVERAGE(G142:G150)))</f>
        <v>???</v>
      </c>
      <c r="H138" s="446"/>
    </row>
    <row r="139" spans="1:8" ht="27.6" customHeight="1">
      <c r="A139" s="10"/>
      <c r="B139" s="8" t="str">
        <f>Language!A1016</f>
        <v>Indicate whether the following aspects of QC for Salmonella and/or Shigella serology reagents are performed.</v>
      </c>
    </row>
    <row r="140" spans="1:8" ht="16.2" thickBot="1">
      <c r="A140" s="10"/>
      <c r="B140" s="465" t="str">
        <f>Language!A1017</f>
        <v xml:space="preserve"> If serology testing is not performed, check NA.</v>
      </c>
      <c r="H140" s="175"/>
    </row>
    <row r="141" spans="1:8" ht="16.2" thickBot="1">
      <c r="A141" s="10"/>
      <c r="B141" s="45" t="str">
        <f>Language!A1018</f>
        <v>Shigella serogoup</v>
      </c>
      <c r="C141" s="75" t="str">
        <f>IF(COUNTBLANK(C142:C145)=4,"???",IF(COUNT(G142:G145)=0,"NA",AVERAGE(G142:G145)))</f>
        <v>???</v>
      </c>
      <c r="H141" s="446"/>
    </row>
    <row r="142" spans="1:8">
      <c r="A142" s="77" t="s">
        <v>2289</v>
      </c>
      <c r="B142" s="37" t="str">
        <f>Language!A1019</f>
        <v>Positive control is used</v>
      </c>
      <c r="C142" s="27"/>
      <c r="F142" s="29">
        <f>C142</f>
        <v>0</v>
      </c>
      <c r="G142" s="18" t="str">
        <f t="shared" ref="G142:G145" si="26">IF(F142="Yes",1,IF(F142="No",0,"'"))</f>
        <v>'</v>
      </c>
      <c r="H142" s="530"/>
    </row>
    <row r="143" spans="1:8">
      <c r="A143" s="77" t="s">
        <v>2290</v>
      </c>
      <c r="B143" s="37" t="str">
        <f>Language!A1020</f>
        <v>Negative control is used</v>
      </c>
      <c r="C143" s="27"/>
      <c r="F143" s="29">
        <f>C143</f>
        <v>0</v>
      </c>
      <c r="G143" s="18" t="str">
        <f t="shared" si="26"/>
        <v>'</v>
      </c>
      <c r="H143" s="450"/>
    </row>
    <row r="144" spans="1:8">
      <c r="A144" s="77" t="s">
        <v>2291</v>
      </c>
      <c r="B144" s="37" t="str">
        <f>Language!A1021</f>
        <v>QC is performed on each new batch/lot number</v>
      </c>
      <c r="C144" s="27"/>
      <c r="F144" s="29">
        <f>C144</f>
        <v>0</v>
      </c>
      <c r="G144" s="18" t="str">
        <f t="shared" si="26"/>
        <v>'</v>
      </c>
      <c r="H144" s="450"/>
    </row>
    <row r="145" spans="1:9" ht="16.2" thickBot="1">
      <c r="A145" s="77" t="s">
        <v>2292</v>
      </c>
      <c r="B145" s="37" t="str">
        <f>Language!A1022</f>
        <v>QC is performed using ATCC or ATCC-derivative strains</v>
      </c>
      <c r="C145" s="27"/>
      <c r="F145" s="29">
        <f>C145</f>
        <v>0</v>
      </c>
      <c r="G145" s="18" t="str">
        <f t="shared" si="26"/>
        <v>'</v>
      </c>
      <c r="H145" s="450"/>
    </row>
    <row r="146" spans="1:9" ht="16.2" thickBot="1">
      <c r="A146" s="10"/>
      <c r="B146" s="45" t="str">
        <f>Language!A1023</f>
        <v>Salmonella serotype</v>
      </c>
      <c r="C146" s="75" t="str">
        <f>IF(COUNTBLANK(C147:C150)=4,"???",IF(COUNT(G147:G150)=0,"NA",AVERAGE(G147:G150)))</f>
        <v>???</v>
      </c>
      <c r="H146" s="446"/>
    </row>
    <row r="147" spans="1:9">
      <c r="A147" s="77" t="s">
        <v>2293</v>
      </c>
      <c r="B147" s="37" t="str">
        <f>Language!A1024</f>
        <v>Positive control is used</v>
      </c>
      <c r="C147" s="27"/>
      <c r="F147" s="29">
        <f>C147</f>
        <v>0</v>
      </c>
      <c r="G147" s="18" t="str">
        <f t="shared" ref="G147:G150" si="27">IF(F147="Yes",1,IF(F147="No",0,"'"))</f>
        <v>'</v>
      </c>
      <c r="H147" s="450"/>
    </row>
    <row r="148" spans="1:9">
      <c r="A148" s="77" t="s">
        <v>2294</v>
      </c>
      <c r="B148" s="37" t="str">
        <f>Language!A1025</f>
        <v>Negative control is used</v>
      </c>
      <c r="C148" s="27"/>
      <c r="F148" s="29">
        <f>C148</f>
        <v>0</v>
      </c>
      <c r="G148" s="18" t="str">
        <f t="shared" si="27"/>
        <v>'</v>
      </c>
      <c r="H148" s="450"/>
    </row>
    <row r="149" spans="1:9">
      <c r="A149" s="77" t="s">
        <v>2295</v>
      </c>
      <c r="B149" s="37" t="str">
        <f>Language!A1026</f>
        <v>QC is performed on each new batch/lot number</v>
      </c>
      <c r="C149" s="27"/>
      <c r="F149" s="29">
        <f>C149</f>
        <v>0</v>
      </c>
      <c r="G149" s="18" t="str">
        <f t="shared" si="27"/>
        <v>'</v>
      </c>
      <c r="H149" s="450"/>
    </row>
    <row r="150" spans="1:9">
      <c r="A150" s="77" t="s">
        <v>2296</v>
      </c>
      <c r="B150" s="37" t="str">
        <f>Language!A1027</f>
        <v>QC is performed using ATCC or ATCC-derivative strains</v>
      </c>
      <c r="C150" s="27"/>
      <c r="F150" s="29">
        <f>C150</f>
        <v>0</v>
      </c>
      <c r="G150" s="18" t="str">
        <f t="shared" si="27"/>
        <v>'</v>
      </c>
      <c r="H150" s="450"/>
    </row>
    <row r="151" spans="1:9" ht="16.2" thickBot="1">
      <c r="A151" s="10"/>
      <c r="B151" s="20"/>
      <c r="C151" s="20"/>
      <c r="F151" s="29"/>
      <c r="G151" s="18"/>
      <c r="H151" s="129"/>
    </row>
    <row r="152" spans="1:9" ht="16.2" thickBot="1">
      <c r="A152" s="166"/>
      <c r="B152" s="84" t="str">
        <f>Language!A1028</f>
        <v>QC OF COMMERCIAL ID KITS and AUTOMATED ID SYSTEMS</v>
      </c>
      <c r="C152" s="73" t="str">
        <f>IF(COUNTBLANK(C155:C162)=8,"???",IF(COUNT(G155:G162)=0,"NA",AVERAGE(G155:G162)))</f>
        <v>???</v>
      </c>
      <c r="F152" s="29"/>
      <c r="G152" s="18"/>
      <c r="H152" s="446"/>
    </row>
    <row r="153" spans="1:9" ht="27.6" customHeight="1">
      <c r="A153" s="10"/>
      <c r="B153" s="20" t="str">
        <f>Language!A1029</f>
        <v xml:space="preserve">Review QC records for commercial organism identification kits (e.g., API, Liofilchem, RapID) </v>
      </c>
      <c r="C153" s="22"/>
      <c r="F153" s="22"/>
    </row>
    <row r="154" spans="1:9">
      <c r="A154" s="10"/>
      <c r="B154" s="465" t="str">
        <f>Language!A1030</f>
        <v>Check NA if the lab does not use any commercial test kits for organism ID</v>
      </c>
      <c r="C154" s="22"/>
      <c r="F154" s="22"/>
    </row>
    <row r="155" spans="1:9" ht="27.6">
      <c r="A155" s="77" t="s">
        <v>2297</v>
      </c>
      <c r="B155" s="37" t="str">
        <f>Language!A1031</f>
        <v xml:space="preserve">Is QC performed on every new lot number/shipment before kits are placed into use, according to manufacturer recommendations? </v>
      </c>
      <c r="C155" s="27"/>
      <c r="F155" s="29">
        <f>C155</f>
        <v>0</v>
      </c>
      <c r="G155" s="18" t="str">
        <f t="shared" ref="G155:G156" si="28">IF(F155="Yes",1,IF(F155="No",0,"'"))</f>
        <v>'</v>
      </c>
      <c r="H155" s="450"/>
    </row>
    <row r="156" spans="1:9">
      <c r="A156" s="77" t="s">
        <v>2298</v>
      </c>
      <c r="B156" s="37" t="str">
        <f>Language!A1032</f>
        <v>Is QC performed using ATCC or ATCC-derivative strains?</v>
      </c>
      <c r="C156" s="27"/>
      <c r="F156" s="29">
        <f>C156</f>
        <v>0</v>
      </c>
      <c r="G156" s="18" t="str">
        <f t="shared" si="28"/>
        <v>'</v>
      </c>
      <c r="H156" s="450"/>
      <c r="I156" s="201"/>
    </row>
    <row r="157" spans="1:9" ht="27.6" customHeight="1">
      <c r="A157" s="77" t="s">
        <v>2299</v>
      </c>
      <c r="B157" s="37" t="str">
        <f>Language!A1033</f>
        <v>Following manufacturer instructions, are all of the recommended ATCC strains in use for the identification kits?</v>
      </c>
      <c r="C157" s="27"/>
      <c r="F157" s="29">
        <f>C157</f>
        <v>0</v>
      </c>
      <c r="G157" s="18" t="str">
        <f>IF(F157=1,1,IF(F157=2,0.5,IF(F157=3,0,"'")))</f>
        <v>'</v>
      </c>
      <c r="H157" s="450"/>
      <c r="I157" s="201"/>
    </row>
    <row r="158" spans="1:9" ht="27.6" customHeight="1">
      <c r="A158" s="10"/>
      <c r="B158" s="36" t="str">
        <f>Language!A1034</f>
        <v>1: All recommended strains are used; 2: Some of the recommended strains are used; 3: None of the recommended reference strains are used; NA</v>
      </c>
      <c r="I158" s="201"/>
    </row>
    <row r="159" spans="1:9" ht="41.4" customHeight="1">
      <c r="A159" s="10"/>
      <c r="B159" s="20" t="str">
        <f>Language!A1035</f>
        <v>Review the QC records for the ID cards/trays used with automated ID instruments (e.g., Vitek, Phoenix, Microscan, etc.) Check NA if the lab does not use automated systems for organism ID</v>
      </c>
      <c r="I159" s="201"/>
    </row>
    <row r="160" spans="1:9" ht="27.6" customHeight="1">
      <c r="A160" s="77" t="s">
        <v>2300</v>
      </c>
      <c r="B160" s="37" t="str">
        <f>Language!A1036</f>
        <v>Is QC performed on every new lot number/shipment of ID cards/trays before they are placed into use?</v>
      </c>
      <c r="C160" s="27"/>
      <c r="F160" s="29">
        <f>C160</f>
        <v>0</v>
      </c>
      <c r="G160" s="18" t="str">
        <f t="shared" ref="G160:G161" si="29">IF(F160="Yes",1,IF(F160="No",0,"'"))</f>
        <v>'</v>
      </c>
      <c r="H160" s="450"/>
      <c r="I160" s="201"/>
    </row>
    <row r="161" spans="1:9">
      <c r="A161" s="77" t="s">
        <v>2301</v>
      </c>
      <c r="B161" s="37" t="str">
        <f>Language!A1037</f>
        <v>Is QC performed using ATCC or ATCC-derivative strains?</v>
      </c>
      <c r="C161" s="27"/>
      <c r="F161" s="29">
        <f>C161</f>
        <v>0</v>
      </c>
      <c r="G161" s="18" t="str">
        <f t="shared" si="29"/>
        <v>'</v>
      </c>
      <c r="H161" s="450"/>
      <c r="I161" s="201"/>
    </row>
    <row r="162" spans="1:9" ht="27.6" customHeight="1">
      <c r="A162" s="77" t="s">
        <v>2302</v>
      </c>
      <c r="B162" s="37" t="str">
        <f>Language!A1038</f>
        <v>Following manufacturer instructions, are all of the recommended ATCC strains in use for the automated instrument ID cards/trays?</v>
      </c>
      <c r="C162" s="27"/>
      <c r="F162" s="29">
        <f>C162</f>
        <v>0</v>
      </c>
      <c r="G162" s="18" t="str">
        <f>IF(F162=1,1,IF(F162=2,0.5,IF(F162=3,0,"'")))</f>
        <v>'</v>
      </c>
      <c r="H162" s="450"/>
      <c r="I162" s="201"/>
    </row>
    <row r="163" spans="1:9" ht="27.6" customHeight="1">
      <c r="A163" s="10"/>
      <c r="B163" s="36" t="str">
        <f>Language!A1039</f>
        <v>1: All recommended strains are used; 2: Some of the recommended strains are used; 3: None of the recommended reference strains are used; NA</v>
      </c>
      <c r="I163" s="201"/>
    </row>
  </sheetData>
  <sheetProtection algorithmName="SHA-256" hashValue="LRlcsx0/7DKqdCUdnHmOLoW7KV9yj6jliTBYz/ugw8I=" saltValue="N6aq5i/On0Ct0vScc3vpUw==" spinCount="100000" sheet="1" selectLockedCells="1"/>
  <phoneticPr fontId="46" type="noConversion"/>
  <conditionalFormatting sqref="G9 G151:G152 G15:G16 F16">
    <cfRule type="cellIs" dxfId="1540" priority="1330" stopIfTrue="1" operator="lessThan">
      <formula>0.5</formula>
    </cfRule>
    <cfRule type="cellIs" dxfId="1539" priority="1331" stopIfTrue="1" operator="between">
      <formula>0.5</formula>
      <formula>0.75</formula>
    </cfRule>
    <cfRule type="cellIs" dxfId="1538" priority="1332" stopIfTrue="1" operator="greaterThan">
      <formula>0.75</formula>
    </cfRule>
  </conditionalFormatting>
  <conditionalFormatting sqref="G4">
    <cfRule type="cellIs" dxfId="1537" priority="1282" stopIfTrue="1" operator="lessThan">
      <formula>0.5</formula>
    </cfRule>
    <cfRule type="cellIs" dxfId="1536" priority="1283" stopIfTrue="1" operator="between">
      <formula>0.5</formula>
      <formula>0.75</formula>
    </cfRule>
    <cfRule type="cellIs" dxfId="1535" priority="1284" stopIfTrue="1" operator="greaterThan">
      <formula>0.75</formula>
    </cfRule>
  </conditionalFormatting>
  <conditionalFormatting sqref="G17">
    <cfRule type="cellIs" dxfId="1534" priority="1273" stopIfTrue="1" operator="lessThan">
      <formula>0.5</formula>
    </cfRule>
    <cfRule type="cellIs" dxfId="1533" priority="1274" stopIfTrue="1" operator="between">
      <formula>0.5</formula>
      <formula>0.75</formula>
    </cfRule>
    <cfRule type="cellIs" dxfId="1532" priority="1275" stopIfTrue="1" operator="greaterThan">
      <formula>0.75</formula>
    </cfRule>
  </conditionalFormatting>
  <conditionalFormatting sqref="G18:G20">
    <cfRule type="cellIs" dxfId="1531" priority="1270" stopIfTrue="1" operator="lessThan">
      <formula>0.5</formula>
    </cfRule>
    <cfRule type="cellIs" dxfId="1530" priority="1271" stopIfTrue="1" operator="between">
      <formula>0.5</formula>
      <formula>0.75</formula>
    </cfRule>
    <cfRule type="cellIs" dxfId="1529" priority="1272" stopIfTrue="1" operator="greaterThan">
      <formula>0.75</formula>
    </cfRule>
  </conditionalFormatting>
  <conditionalFormatting sqref="G157">
    <cfRule type="cellIs" dxfId="1528" priority="1159" stopIfTrue="1" operator="lessThan">
      <formula>0.5</formula>
    </cfRule>
    <cfRule type="cellIs" dxfId="1527" priority="1160" stopIfTrue="1" operator="between">
      <formula>0.5</formula>
      <formula>0.75</formula>
    </cfRule>
    <cfRule type="cellIs" dxfId="1526" priority="1161" stopIfTrue="1" operator="greaterThan">
      <formula>0.75</formula>
    </cfRule>
  </conditionalFormatting>
  <conditionalFormatting sqref="G10:G13">
    <cfRule type="cellIs" dxfId="1525" priority="907" stopIfTrue="1" operator="lessThan">
      <formula>0.5</formula>
    </cfRule>
    <cfRule type="cellIs" dxfId="1524" priority="908" stopIfTrue="1" operator="between">
      <formula>0.5</formula>
      <formula>0.75</formula>
    </cfRule>
    <cfRule type="cellIs" dxfId="1523" priority="909" stopIfTrue="1" operator="greaterThan">
      <formula>0.75</formula>
    </cfRule>
  </conditionalFormatting>
  <conditionalFormatting sqref="G31 G46 G51 G56 G66 G71 G76 G81 G86 G91 G96 G101 G106 G111 G116 G1 G136:G141 G164:G1048576 G15:G21 G26 G146 G151:G152 G157:G159 F16 G3:G6 G8:G13">
    <cfRule type="containsText" dxfId="1522" priority="732" stopIfTrue="1" operator="containsText" text="RED FLAG">
      <formula>NOT(ISERROR(SEARCH("RED FLAG",F1)))</formula>
    </cfRule>
  </conditionalFormatting>
  <conditionalFormatting sqref="C141">
    <cfRule type="cellIs" dxfId="1521" priority="531" stopIfTrue="1" operator="greaterThanOrEqual">
      <formula>0.8</formula>
    </cfRule>
    <cfRule type="cellIs" dxfId="1520" priority="532" stopIfTrue="1" operator="between">
      <formula>0.5</formula>
      <formula>0.799</formula>
    </cfRule>
    <cfRule type="cellIs" dxfId="1519" priority="533" stopIfTrue="1" operator="lessThan">
      <formula>0.5</formula>
    </cfRule>
  </conditionalFormatting>
  <conditionalFormatting sqref="C146">
    <cfRule type="cellIs" dxfId="1518" priority="469" stopIfTrue="1" operator="greaterThanOrEqual">
      <formula>0.8</formula>
    </cfRule>
    <cfRule type="cellIs" dxfId="1517" priority="470" stopIfTrue="1" operator="between">
      <formula>0.5</formula>
      <formula>0.799</formula>
    </cfRule>
    <cfRule type="cellIs" dxfId="1516" priority="471" stopIfTrue="1" operator="lessThan">
      <formula>0.5</formula>
    </cfRule>
  </conditionalFormatting>
  <conditionalFormatting sqref="C26">
    <cfRule type="cellIs" dxfId="1515" priority="505" stopIfTrue="1" operator="greaterThanOrEqual">
      <formula>0.8</formula>
    </cfRule>
    <cfRule type="cellIs" dxfId="1514" priority="506" stopIfTrue="1" operator="between">
      <formula>0.5</formula>
      <formula>0.799</formula>
    </cfRule>
    <cfRule type="cellIs" dxfId="1513" priority="507" stopIfTrue="1" operator="lessThan">
      <formula>0.5</formula>
    </cfRule>
  </conditionalFormatting>
  <conditionalFormatting sqref="C21">
    <cfRule type="cellIs" dxfId="1512" priority="502" stopIfTrue="1" operator="greaterThanOrEqual">
      <formula>0.8</formula>
    </cfRule>
    <cfRule type="cellIs" dxfId="1511" priority="503" stopIfTrue="1" operator="between">
      <formula>0.5</formula>
      <formula>0.799</formula>
    </cfRule>
    <cfRule type="cellIs" dxfId="1510" priority="504" stopIfTrue="1" operator="lessThan">
      <formula>0.5</formula>
    </cfRule>
  </conditionalFormatting>
  <conditionalFormatting sqref="C16">
    <cfRule type="cellIs" dxfId="1509" priority="457" stopIfTrue="1" operator="greaterThanOrEqual">
      <formula>0.8</formula>
    </cfRule>
    <cfRule type="cellIs" dxfId="1508" priority="458" stopIfTrue="1" operator="between">
      <formula>0.5</formula>
      <formula>0.799</formula>
    </cfRule>
    <cfRule type="cellIs" dxfId="1507" priority="459" stopIfTrue="1" operator="lessThan">
      <formula>0.5</formula>
    </cfRule>
  </conditionalFormatting>
  <conditionalFormatting sqref="C17:C20">
    <cfRule type="cellIs" dxfId="1506" priority="403" stopIfTrue="1" operator="lessThan">
      <formula>0.5</formula>
    </cfRule>
    <cfRule type="cellIs" dxfId="1505" priority="404" stopIfTrue="1" operator="between">
      <formula>0.5</formula>
      <formula>0.75</formula>
    </cfRule>
    <cfRule type="cellIs" dxfId="1504" priority="405" stopIfTrue="1" operator="greaterThan">
      <formula>0.75</formula>
    </cfRule>
  </conditionalFormatting>
  <conditionalFormatting sqref="C17:C20">
    <cfRule type="containsText" dxfId="1503" priority="402" stopIfTrue="1" operator="containsText" text="RED FLAG">
      <formula>NOT(ISERROR(SEARCH("RED FLAG",C17)))</formula>
    </cfRule>
  </conditionalFormatting>
  <conditionalFormatting sqref="C3">
    <cfRule type="cellIs" dxfId="1502" priority="393" stopIfTrue="1" operator="greaterThanOrEqual">
      <formula>0.8</formula>
    </cfRule>
    <cfRule type="cellIs" dxfId="1501" priority="394" stopIfTrue="1" operator="between">
      <formula>0.5</formula>
      <formula>0.799</formula>
    </cfRule>
    <cfRule type="cellIs" dxfId="1500" priority="395" stopIfTrue="1" operator="lessThan">
      <formula>0.5</formula>
    </cfRule>
  </conditionalFormatting>
  <conditionalFormatting sqref="C138">
    <cfRule type="cellIs" dxfId="1499" priority="390" stopIfTrue="1" operator="greaterThanOrEqual">
      <formula>0.8</formula>
    </cfRule>
    <cfRule type="cellIs" dxfId="1498" priority="391" stopIfTrue="1" operator="between">
      <formula>0.5</formula>
      <formula>0.799</formula>
    </cfRule>
    <cfRule type="cellIs" dxfId="1497" priority="392" stopIfTrue="1" operator="lessThan">
      <formula>0.5</formula>
    </cfRule>
  </conditionalFormatting>
  <conditionalFormatting sqref="C152">
    <cfRule type="cellIs" dxfId="1496" priority="387" stopIfTrue="1" operator="greaterThanOrEqual">
      <formula>0.8</formula>
    </cfRule>
    <cfRule type="cellIs" dxfId="1495" priority="388" stopIfTrue="1" operator="between">
      <formula>0.5</formula>
      <formula>0.799</formula>
    </cfRule>
    <cfRule type="cellIs" dxfId="1494" priority="389" stopIfTrue="1" operator="lessThan">
      <formula>0.5</formula>
    </cfRule>
  </conditionalFormatting>
  <conditionalFormatting sqref="G163">
    <cfRule type="containsText" dxfId="1493" priority="237" stopIfTrue="1" operator="containsText" text="RED FLAG">
      <formula>NOT(ISERROR(SEARCH("RED FLAG",G163)))</formula>
    </cfRule>
  </conditionalFormatting>
  <conditionalFormatting sqref="C31">
    <cfRule type="cellIs" dxfId="1492" priority="234" stopIfTrue="1" operator="greaterThanOrEqual">
      <formula>0.8</formula>
    </cfRule>
    <cfRule type="cellIs" dxfId="1491" priority="235" stopIfTrue="1" operator="between">
      <formula>0.5</formula>
      <formula>0.799</formula>
    </cfRule>
    <cfRule type="cellIs" dxfId="1490" priority="236" stopIfTrue="1" operator="lessThan">
      <formula>0.5</formula>
    </cfRule>
  </conditionalFormatting>
  <conditionalFormatting sqref="C46">
    <cfRule type="cellIs" dxfId="1489" priority="231" stopIfTrue="1" operator="greaterThanOrEqual">
      <formula>0.8</formula>
    </cfRule>
    <cfRule type="cellIs" dxfId="1488" priority="232" stopIfTrue="1" operator="between">
      <formula>0.5</formula>
      <formula>0.799</formula>
    </cfRule>
    <cfRule type="cellIs" dxfId="1487" priority="233" stopIfTrue="1" operator="lessThan">
      <formula>0.5</formula>
    </cfRule>
  </conditionalFormatting>
  <conditionalFormatting sqref="C51">
    <cfRule type="cellIs" dxfId="1486" priority="228" stopIfTrue="1" operator="greaterThanOrEqual">
      <formula>0.8</formula>
    </cfRule>
    <cfRule type="cellIs" dxfId="1485" priority="229" stopIfTrue="1" operator="between">
      <formula>0.5</formula>
      <formula>0.799</formula>
    </cfRule>
    <cfRule type="cellIs" dxfId="1484" priority="230" stopIfTrue="1" operator="lessThan">
      <formula>0.5</formula>
    </cfRule>
  </conditionalFormatting>
  <conditionalFormatting sqref="C56">
    <cfRule type="cellIs" dxfId="1483" priority="225" stopIfTrue="1" operator="greaterThanOrEqual">
      <formula>0.8</formula>
    </cfRule>
    <cfRule type="cellIs" dxfId="1482" priority="226" stopIfTrue="1" operator="between">
      <formula>0.5</formula>
      <formula>0.799</formula>
    </cfRule>
    <cfRule type="cellIs" dxfId="1481" priority="227" stopIfTrue="1" operator="lessThan">
      <formula>0.5</formula>
    </cfRule>
  </conditionalFormatting>
  <conditionalFormatting sqref="C66">
    <cfRule type="cellIs" dxfId="1480" priority="222" stopIfTrue="1" operator="greaterThanOrEqual">
      <formula>0.8</formula>
    </cfRule>
    <cfRule type="cellIs" dxfId="1479" priority="223" stopIfTrue="1" operator="between">
      <formula>0.5</formula>
      <formula>0.799</formula>
    </cfRule>
    <cfRule type="cellIs" dxfId="1478" priority="224" stopIfTrue="1" operator="lessThan">
      <formula>0.5</formula>
    </cfRule>
  </conditionalFormatting>
  <conditionalFormatting sqref="C71">
    <cfRule type="cellIs" dxfId="1477" priority="219" stopIfTrue="1" operator="greaterThanOrEqual">
      <formula>0.8</formula>
    </cfRule>
    <cfRule type="cellIs" dxfId="1476" priority="220" stopIfTrue="1" operator="between">
      <formula>0.5</formula>
      <formula>0.799</formula>
    </cfRule>
    <cfRule type="cellIs" dxfId="1475" priority="221" stopIfTrue="1" operator="lessThan">
      <formula>0.5</formula>
    </cfRule>
  </conditionalFormatting>
  <conditionalFormatting sqref="C76">
    <cfRule type="cellIs" dxfId="1474" priority="216" stopIfTrue="1" operator="greaterThanOrEqual">
      <formula>0.8</formula>
    </cfRule>
    <cfRule type="cellIs" dxfId="1473" priority="217" stopIfTrue="1" operator="between">
      <formula>0.5</formula>
      <formula>0.799</formula>
    </cfRule>
    <cfRule type="cellIs" dxfId="1472" priority="218" stopIfTrue="1" operator="lessThan">
      <formula>0.5</formula>
    </cfRule>
  </conditionalFormatting>
  <conditionalFormatting sqref="C81">
    <cfRule type="cellIs" dxfId="1471" priority="213" stopIfTrue="1" operator="greaterThanOrEqual">
      <formula>0.8</formula>
    </cfRule>
    <cfRule type="cellIs" dxfId="1470" priority="214" stopIfTrue="1" operator="between">
      <formula>0.5</formula>
      <formula>0.799</formula>
    </cfRule>
    <cfRule type="cellIs" dxfId="1469" priority="215" stopIfTrue="1" operator="lessThan">
      <formula>0.5</formula>
    </cfRule>
  </conditionalFormatting>
  <conditionalFormatting sqref="C86">
    <cfRule type="cellIs" dxfId="1468" priority="210" stopIfTrue="1" operator="greaterThanOrEqual">
      <formula>0.8</formula>
    </cfRule>
    <cfRule type="cellIs" dxfId="1467" priority="211" stopIfTrue="1" operator="between">
      <formula>0.5</formula>
      <formula>0.799</formula>
    </cfRule>
    <cfRule type="cellIs" dxfId="1466" priority="212" stopIfTrue="1" operator="lessThan">
      <formula>0.5</formula>
    </cfRule>
  </conditionalFormatting>
  <conditionalFormatting sqref="C91">
    <cfRule type="cellIs" dxfId="1465" priority="207" stopIfTrue="1" operator="greaterThanOrEqual">
      <formula>0.8</formula>
    </cfRule>
    <cfRule type="cellIs" dxfId="1464" priority="208" stopIfTrue="1" operator="between">
      <formula>0.5</formula>
      <formula>0.799</formula>
    </cfRule>
    <cfRule type="cellIs" dxfId="1463" priority="209" stopIfTrue="1" operator="lessThan">
      <formula>0.5</formula>
    </cfRule>
  </conditionalFormatting>
  <conditionalFormatting sqref="C96">
    <cfRule type="cellIs" dxfId="1462" priority="204" stopIfTrue="1" operator="greaterThanOrEqual">
      <formula>0.8</formula>
    </cfRule>
    <cfRule type="cellIs" dxfId="1461" priority="205" stopIfTrue="1" operator="between">
      <formula>0.5</formula>
      <formula>0.799</formula>
    </cfRule>
    <cfRule type="cellIs" dxfId="1460" priority="206" stopIfTrue="1" operator="lessThan">
      <formula>0.5</formula>
    </cfRule>
  </conditionalFormatting>
  <conditionalFormatting sqref="C101">
    <cfRule type="cellIs" dxfId="1459" priority="201" stopIfTrue="1" operator="greaterThanOrEqual">
      <formula>0.8</formula>
    </cfRule>
    <cfRule type="cellIs" dxfId="1458" priority="202" stopIfTrue="1" operator="between">
      <formula>0.5</formula>
      <formula>0.799</formula>
    </cfRule>
    <cfRule type="cellIs" dxfId="1457" priority="203" stopIfTrue="1" operator="lessThan">
      <formula>0.5</formula>
    </cfRule>
  </conditionalFormatting>
  <conditionalFormatting sqref="C106">
    <cfRule type="cellIs" dxfId="1456" priority="198" stopIfTrue="1" operator="greaterThanOrEqual">
      <formula>0.8</formula>
    </cfRule>
    <cfRule type="cellIs" dxfId="1455" priority="199" stopIfTrue="1" operator="between">
      <formula>0.5</formula>
      <formula>0.799</formula>
    </cfRule>
    <cfRule type="cellIs" dxfId="1454" priority="200" stopIfTrue="1" operator="lessThan">
      <formula>0.5</formula>
    </cfRule>
  </conditionalFormatting>
  <conditionalFormatting sqref="C111">
    <cfRule type="cellIs" dxfId="1453" priority="195" stopIfTrue="1" operator="greaterThanOrEqual">
      <formula>0.8</formula>
    </cfRule>
    <cfRule type="cellIs" dxfId="1452" priority="196" stopIfTrue="1" operator="between">
      <formula>0.5</formula>
      <formula>0.799</formula>
    </cfRule>
    <cfRule type="cellIs" dxfId="1451" priority="197" stopIfTrue="1" operator="lessThan">
      <formula>0.5</formula>
    </cfRule>
  </conditionalFormatting>
  <conditionalFormatting sqref="C116">
    <cfRule type="cellIs" dxfId="1450" priority="192" stopIfTrue="1" operator="greaterThanOrEqual">
      <formula>0.8</formula>
    </cfRule>
    <cfRule type="cellIs" dxfId="1449" priority="193" stopIfTrue="1" operator="between">
      <formula>0.5</formula>
      <formula>0.799</formula>
    </cfRule>
    <cfRule type="cellIs" dxfId="1448" priority="194" stopIfTrue="1" operator="lessThan">
      <formula>0.5</formula>
    </cfRule>
  </conditionalFormatting>
  <conditionalFormatting sqref="G41">
    <cfRule type="containsText" dxfId="1447" priority="179" stopIfTrue="1" operator="containsText" text="RED FLAG">
      <formula>NOT(ISERROR(SEARCH("RED FLAG",G41)))</formula>
    </cfRule>
  </conditionalFormatting>
  <conditionalFormatting sqref="C41">
    <cfRule type="cellIs" dxfId="1446" priority="166" stopIfTrue="1" operator="greaterThanOrEqual">
      <formula>0.8</formula>
    </cfRule>
    <cfRule type="cellIs" dxfId="1445" priority="167" stopIfTrue="1" operator="between">
      <formula>0.5</formula>
      <formula>0.799</formula>
    </cfRule>
    <cfRule type="cellIs" dxfId="1444" priority="168" stopIfTrue="1" operator="lessThan">
      <formula>0.5</formula>
    </cfRule>
  </conditionalFormatting>
  <conditionalFormatting sqref="G36">
    <cfRule type="containsText" dxfId="1443" priority="156" stopIfTrue="1" operator="containsText" text="RED FLAG">
      <formula>NOT(ISERROR(SEARCH("RED FLAG",G36)))</formula>
    </cfRule>
  </conditionalFormatting>
  <conditionalFormatting sqref="C36">
    <cfRule type="cellIs" dxfId="1442" priority="143" stopIfTrue="1" operator="greaterThanOrEqual">
      <formula>0.8</formula>
    </cfRule>
    <cfRule type="cellIs" dxfId="1441" priority="144" stopIfTrue="1" operator="between">
      <formula>0.5</formula>
      <formula>0.799</formula>
    </cfRule>
    <cfRule type="cellIs" dxfId="1440" priority="145" stopIfTrue="1" operator="lessThan">
      <formula>0.5</formula>
    </cfRule>
  </conditionalFormatting>
  <conditionalFormatting sqref="G61">
    <cfRule type="containsText" dxfId="1439" priority="133" stopIfTrue="1" operator="containsText" text="RED FLAG">
      <formula>NOT(ISERROR(SEARCH("RED FLAG",G61)))</formula>
    </cfRule>
  </conditionalFormatting>
  <conditionalFormatting sqref="C61">
    <cfRule type="cellIs" dxfId="1438" priority="120" stopIfTrue="1" operator="greaterThanOrEqual">
      <formula>0.8</formula>
    </cfRule>
    <cfRule type="cellIs" dxfId="1437" priority="121" stopIfTrue="1" operator="between">
      <formula>0.5</formula>
      <formula>0.799</formula>
    </cfRule>
    <cfRule type="cellIs" dxfId="1436" priority="122" stopIfTrue="1" operator="lessThan">
      <formula>0.5</formula>
    </cfRule>
  </conditionalFormatting>
  <conditionalFormatting sqref="G121">
    <cfRule type="containsText" dxfId="1435" priority="113" stopIfTrue="1" operator="containsText" text="RED FLAG">
      <formula>NOT(ISERROR(SEARCH("RED FLAG",G121)))</formula>
    </cfRule>
  </conditionalFormatting>
  <conditionalFormatting sqref="C121">
    <cfRule type="cellIs" dxfId="1434" priority="93" stopIfTrue="1" operator="greaterThanOrEqual">
      <formula>0.8</formula>
    </cfRule>
    <cfRule type="cellIs" dxfId="1433" priority="94" stopIfTrue="1" operator="between">
      <formula>0.5</formula>
      <formula>0.799</formula>
    </cfRule>
    <cfRule type="cellIs" dxfId="1432" priority="95" stopIfTrue="1" operator="lessThan">
      <formula>0.5</formula>
    </cfRule>
  </conditionalFormatting>
  <conditionalFormatting sqref="G126">
    <cfRule type="containsText" dxfId="1431" priority="86" stopIfTrue="1" operator="containsText" text="RED FLAG">
      <formula>NOT(ISERROR(SEARCH("RED FLAG",G126)))</formula>
    </cfRule>
  </conditionalFormatting>
  <conditionalFormatting sqref="C126">
    <cfRule type="cellIs" dxfId="1430" priority="66" stopIfTrue="1" operator="greaterThanOrEqual">
      <formula>0.8</formula>
    </cfRule>
    <cfRule type="cellIs" dxfId="1429" priority="67" stopIfTrue="1" operator="between">
      <formula>0.5</formula>
      <formula>0.799</formula>
    </cfRule>
    <cfRule type="cellIs" dxfId="1428" priority="68" stopIfTrue="1" operator="lessThan">
      <formula>0.5</formula>
    </cfRule>
  </conditionalFormatting>
  <conditionalFormatting sqref="G14 G7">
    <cfRule type="cellIs" dxfId="1427" priority="36" stopIfTrue="1" operator="lessThan">
      <formula>0.5</formula>
    </cfRule>
    <cfRule type="cellIs" dxfId="1426" priority="37" stopIfTrue="1" operator="between">
      <formula>0.5</formula>
      <formula>0.75</formula>
    </cfRule>
    <cfRule type="cellIs" dxfId="1425" priority="38" stopIfTrue="1" operator="greaterThan">
      <formula>0.75</formula>
    </cfRule>
  </conditionalFormatting>
  <conditionalFormatting sqref="G131">
    <cfRule type="containsText" dxfId="1424" priority="59" stopIfTrue="1" operator="containsText" text="RED FLAG">
      <formula>NOT(ISERROR(SEARCH("RED FLAG",G131)))</formula>
    </cfRule>
  </conditionalFormatting>
  <conditionalFormatting sqref="G10:G13">
    <cfRule type="cellIs" dxfId="1423" priority="32" stopIfTrue="1" operator="lessThan">
      <formula>0.5</formula>
    </cfRule>
    <cfRule type="cellIs" dxfId="1422" priority="33" stopIfTrue="1" operator="between">
      <formula>0.5</formula>
      <formula>0.75</formula>
    </cfRule>
    <cfRule type="cellIs" dxfId="1421" priority="34" stopIfTrue="1" operator="greaterThan">
      <formula>0.75</formula>
    </cfRule>
  </conditionalFormatting>
  <conditionalFormatting sqref="G132:G135 G127:G130 G122:G125 G117:G120 G112:G115 G107:G110 G102:G105 G97:G100 G92:G95 G87:G90 G82:G85 G77:G80 G72:G75 G67:G70 G62:G65 G57:G60 G52:G55 G47:G50 G42:G45 G37:G40 G32:G35 G27:G30 G22:G25">
    <cfRule type="cellIs" dxfId="1420" priority="29" stopIfTrue="1" operator="lessThan">
      <formula>0.5</formula>
    </cfRule>
    <cfRule type="cellIs" dxfId="1419" priority="30" stopIfTrue="1" operator="between">
      <formula>0.5</formula>
      <formula>0.75</formula>
    </cfRule>
    <cfRule type="cellIs" dxfId="1418" priority="31" stopIfTrue="1" operator="greaterThan">
      <formula>0.75</formula>
    </cfRule>
  </conditionalFormatting>
  <conditionalFormatting sqref="G132:G135 G127:G130 G122:G125 G117:G120 G112:G115 G107:G110 G102:G105 G97:G100 G92:G95 G87:G90 G82:G85 G77:G80 G72:G75 G67:G70 G62:G65 G57:G60 G52:G55 G47:G50 G42:G45 G37:G40 G32:G35 G27:G30 G22:G25">
    <cfRule type="containsText" dxfId="1417" priority="28" stopIfTrue="1" operator="containsText" text="RED FLAG">
      <formula>NOT(ISERROR(SEARCH("RED FLAG",G22)))</formula>
    </cfRule>
  </conditionalFormatting>
  <conditionalFormatting sqref="G147:G150 G142:G145">
    <cfRule type="cellIs" dxfId="1416" priority="25" stopIfTrue="1" operator="lessThan">
      <formula>0.5</formula>
    </cfRule>
    <cfRule type="cellIs" dxfId="1415" priority="26" stopIfTrue="1" operator="between">
      <formula>0.5</formula>
      <formula>0.75</formula>
    </cfRule>
    <cfRule type="cellIs" dxfId="1414" priority="27" stopIfTrue="1" operator="greaterThan">
      <formula>0.75</formula>
    </cfRule>
  </conditionalFormatting>
  <conditionalFormatting sqref="C131">
    <cfRule type="cellIs" dxfId="1413" priority="39" stopIfTrue="1" operator="greaterThanOrEqual">
      <formula>0.8</formula>
    </cfRule>
    <cfRule type="cellIs" dxfId="1412" priority="40" stopIfTrue="1" operator="between">
      <formula>0.5</formula>
      <formula>0.799</formula>
    </cfRule>
    <cfRule type="cellIs" dxfId="1411" priority="41" stopIfTrue="1" operator="lessThan">
      <formula>0.5</formula>
    </cfRule>
  </conditionalFormatting>
  <conditionalFormatting sqref="G14 G7">
    <cfRule type="containsText" dxfId="1410" priority="35" stopIfTrue="1" operator="containsText" text="RED FLAG">
      <formula>NOT(ISERROR(SEARCH("RED FLAG",G7)))</formula>
    </cfRule>
  </conditionalFormatting>
  <conditionalFormatting sqref="G147:G150 G142:G145">
    <cfRule type="containsText" dxfId="1409" priority="24" stopIfTrue="1" operator="containsText" text="RED FLAG">
      <formula>NOT(ISERROR(SEARCH("RED FLAG",G142)))</formula>
    </cfRule>
  </conditionalFormatting>
  <conditionalFormatting sqref="G160:G161 G155:G156">
    <cfRule type="cellIs" dxfId="1408" priority="21" stopIfTrue="1" operator="lessThan">
      <formula>0.5</formula>
    </cfRule>
    <cfRule type="cellIs" dxfId="1407" priority="22" stopIfTrue="1" operator="between">
      <formula>0.5</formula>
      <formula>0.75</formula>
    </cfRule>
    <cfRule type="cellIs" dxfId="1406" priority="23" stopIfTrue="1" operator="greaterThan">
      <formula>0.75</formula>
    </cfRule>
  </conditionalFormatting>
  <conditionalFormatting sqref="G160:G161 G155:G156">
    <cfRule type="containsText" dxfId="1405" priority="20" stopIfTrue="1" operator="containsText" text="RED FLAG">
      <formula>NOT(ISERROR(SEARCH("RED FLAG",G155)))</formula>
    </cfRule>
  </conditionalFormatting>
  <conditionalFormatting sqref="G157">
    <cfRule type="cellIs" dxfId="1404" priority="17" stopIfTrue="1" operator="lessThan">
      <formula>0.5</formula>
    </cfRule>
    <cfRule type="cellIs" dxfId="1403" priority="18" stopIfTrue="1" operator="between">
      <formula>0.5</formula>
      <formula>0.75</formula>
    </cfRule>
    <cfRule type="cellIs" dxfId="1402" priority="19" stopIfTrue="1" operator="greaterThan">
      <formula>0.75</formula>
    </cfRule>
  </conditionalFormatting>
  <conditionalFormatting sqref="G157">
    <cfRule type="cellIs" dxfId="1401" priority="14" stopIfTrue="1" operator="lessThan">
      <formula>0.5</formula>
    </cfRule>
    <cfRule type="cellIs" dxfId="1400" priority="15" stopIfTrue="1" operator="between">
      <formula>0.5</formula>
      <formula>0.75</formula>
    </cfRule>
    <cfRule type="cellIs" dxfId="1399" priority="16" stopIfTrue="1" operator="greaterThan">
      <formula>0.75</formula>
    </cfRule>
  </conditionalFormatting>
  <conditionalFormatting sqref="G162">
    <cfRule type="cellIs" dxfId="1398" priority="11" stopIfTrue="1" operator="lessThan">
      <formula>0.5</formula>
    </cfRule>
    <cfRule type="cellIs" dxfId="1397" priority="12" stopIfTrue="1" operator="between">
      <formula>0.5</formula>
      <formula>0.75</formula>
    </cfRule>
    <cfRule type="cellIs" dxfId="1396" priority="13" stopIfTrue="1" operator="greaterThan">
      <formula>0.75</formula>
    </cfRule>
  </conditionalFormatting>
  <conditionalFormatting sqref="G162">
    <cfRule type="containsText" dxfId="1395" priority="10" stopIfTrue="1" operator="containsText" text="RED FLAG">
      <formula>NOT(ISERROR(SEARCH("RED FLAG",G162)))</formula>
    </cfRule>
  </conditionalFormatting>
  <conditionalFormatting sqref="G162">
    <cfRule type="cellIs" dxfId="1394" priority="7" stopIfTrue="1" operator="lessThan">
      <formula>0.5</formula>
    </cfRule>
    <cfRule type="cellIs" dxfId="1393" priority="8" stopIfTrue="1" operator="between">
      <formula>0.5</formula>
      <formula>0.75</formula>
    </cfRule>
    <cfRule type="cellIs" dxfId="1392" priority="9" stopIfTrue="1" operator="greaterThan">
      <formula>0.75</formula>
    </cfRule>
  </conditionalFormatting>
  <conditionalFormatting sqref="G162">
    <cfRule type="cellIs" dxfId="1391" priority="4" stopIfTrue="1" operator="lessThan">
      <formula>0.5</formula>
    </cfRule>
    <cfRule type="cellIs" dxfId="1390" priority="5" stopIfTrue="1" operator="between">
      <formula>0.5</formula>
      <formula>0.75</formula>
    </cfRule>
    <cfRule type="cellIs" dxfId="1389" priority="6" stopIfTrue="1" operator="greaterThan">
      <formula>0.75</formula>
    </cfRule>
  </conditionalFormatting>
  <dataValidations count="4">
    <dataValidation type="list" allowBlank="1" showInputMessage="1" showErrorMessage="1" sqref="C4 C10:C13" xr:uid="{00000000-0002-0000-0A00-000000000000}">
      <formula1>"1,2,3"</formula1>
    </dataValidation>
    <dataValidation type="list" allowBlank="1" showInputMessage="1" showErrorMessage="1" sqref="C162 C157" xr:uid="{00000000-0002-0000-0A00-000001000000}">
      <formula1>"1,2,3,NA"</formula1>
    </dataValidation>
    <dataValidation type="list" allowBlank="1" showInputMessage="1" showErrorMessage="1" sqref="C14 C7" xr:uid="{00000000-0002-0000-0A00-000002000000}">
      <formula1>"Yes,No"</formula1>
    </dataValidation>
    <dataValidation type="list" allowBlank="1" showInputMessage="1" showErrorMessage="1" sqref="C62:C65 C37:C40 C27:C30 C72:C75 C82:C85 C77:C80 C92:C95 C87:C90 C102:C105 C97:C100 C107:C110 C142:C145 C160:C161 C67:C70 C22:C25 C112:C115 C155:C156 C47:C50 C52:C55 C147:C150 C42:C45 C32:C35 C57:C60 C117:C120 C122:C125 C127:C130 C132:C135" xr:uid="{00000000-0002-0000-0A00-000003000000}">
      <formula1>"Yes,No,NA"</formula1>
    </dataValidation>
  </dataValidations>
  <pageMargins left="0.25" right="0.25" top="0.75000000000000011" bottom="0.75000000000000011" header="0.30000000000000004" footer="0.30000000000000004"/>
  <pageSetup paperSize="9" scale="94" fitToHeight="6" orientation="landscape" r:id="rId1"/>
  <headerFooter>
    <oddFooter>&amp;C&amp;A -&amp;P</oddFooter>
  </headerFooter>
  <rowBreaks count="5" manualBreakCount="5">
    <brk id="30" max="16383" man="1"/>
    <brk id="60" max="16383" man="1"/>
    <brk id="90" max="16383" man="1"/>
    <brk id="120" max="16383" man="1"/>
    <brk id="15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0070C0"/>
    <pageSetUpPr fitToPage="1"/>
  </sheetPr>
  <dimension ref="A1:K81"/>
  <sheetViews>
    <sheetView zoomScaleNormal="100" zoomScalePageLayoutView="80" workbookViewId="0">
      <selection activeCell="C5" sqref="C5"/>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3.69921875" style="22" hidden="1" customWidth="1"/>
    <col min="6" max="6" width="5.19921875" style="28" hidden="1" customWidth="1"/>
    <col min="7" max="7" width="5.19921875" style="22" customWidth="1"/>
    <col min="8" max="8" width="37.69921875" style="72" customWidth="1"/>
    <col min="9" max="9" width="9.69921875" style="22" customWidth="1"/>
    <col min="10" max="16384" width="11" style="22"/>
  </cols>
  <sheetData>
    <row r="1" spans="1:11">
      <c r="A1" s="10"/>
      <c r="B1" s="43" t="str">
        <f>Language!A1040</f>
        <v>7- QUALITY CONTROL - AST METHODS</v>
      </c>
      <c r="C1" s="52" t="str">
        <f>IF(COUNT(G3:G377)=0,"???",AVERAGE(G3:G377))</f>
        <v>???</v>
      </c>
      <c r="H1" s="199" t="str">
        <f>'Facility 1'!H1</f>
        <v>Comments</v>
      </c>
    </row>
    <row r="2" spans="1:11" ht="16.2" thickBot="1">
      <c r="A2" s="16"/>
      <c r="B2" s="471"/>
      <c r="C2" s="235"/>
      <c r="D2" s="514"/>
      <c r="E2" s="201"/>
      <c r="F2" s="201"/>
      <c r="G2" s="201"/>
      <c r="H2" s="471"/>
      <c r="J2" s="201"/>
      <c r="K2" s="201"/>
    </row>
    <row r="3" spans="1:11" ht="16.2" thickBot="1">
      <c r="A3" s="166"/>
      <c r="B3" s="84" t="str">
        <f>Language!A1041</f>
        <v>ROUTINE AST REFERENCE STRAINS</v>
      </c>
      <c r="C3" s="73" t="str">
        <f>IF(COUNTBLANK(C5:C16)=12,"???",IF(COUNT(G5:G16)=0,"NA",AVERAGE(G5:G16)))</f>
        <v>???</v>
      </c>
      <c r="H3" s="446"/>
    </row>
    <row r="4" spans="1:11">
      <c r="A4" s="10"/>
      <c r="B4" s="8" t="str">
        <f>Language!A1042</f>
        <v>Does the lab have the following ATCC reference strains in stock? (CIP equivalents are also shown)</v>
      </c>
      <c r="F4" s="22"/>
    </row>
    <row r="5" spans="1:11">
      <c r="A5" s="10" t="s">
        <v>523</v>
      </c>
      <c r="B5" s="37" t="str">
        <f>Language!A1043</f>
        <v>Staphylococcus aureus ATCC 25923/CIP 76.25 (If CLSI standard used)</v>
      </c>
      <c r="C5" s="27"/>
      <c r="D5" s="528"/>
      <c r="E5" s="528"/>
      <c r="F5" s="40">
        <f t="shared" ref="F5:F10" si="0">C5</f>
        <v>0</v>
      </c>
      <c r="G5" s="18" t="str">
        <f t="shared" ref="G5:G16" si="1">IF(F5="Yes",1,IF(F5="No",0,"'"))</f>
        <v>'</v>
      </c>
      <c r="H5" s="430"/>
      <c r="I5" s="513"/>
    </row>
    <row r="6" spans="1:11">
      <c r="A6" s="10" t="s">
        <v>524</v>
      </c>
      <c r="B6" s="37" t="str">
        <f>Language!A1044</f>
        <v>Staphylococcus aureus ATCC 29213/CIP 103429 (If EUCAST standard used)</v>
      </c>
      <c r="C6" s="27"/>
      <c r="D6" s="528"/>
      <c r="E6" s="528"/>
      <c r="F6" s="40">
        <f t="shared" si="0"/>
        <v>0</v>
      </c>
      <c r="G6" s="18" t="str">
        <f t="shared" si="1"/>
        <v>'</v>
      </c>
      <c r="H6" s="430"/>
      <c r="I6" s="513"/>
    </row>
    <row r="7" spans="1:11" ht="27.6" customHeight="1">
      <c r="A7" s="10" t="s">
        <v>525</v>
      </c>
      <c r="B7" s="37" t="str">
        <f>Language!A1045</f>
        <v>Enterococcus faecalis ATCC 29212/CIP 103214 (to assess suitability of MHA for trimethoprim-sulfonamide tests)</v>
      </c>
      <c r="C7" s="27"/>
      <c r="D7" s="528"/>
      <c r="E7" s="528"/>
      <c r="F7" s="40">
        <f t="shared" si="0"/>
        <v>0</v>
      </c>
      <c r="G7" s="18" t="str">
        <f t="shared" si="1"/>
        <v>'</v>
      </c>
      <c r="H7" s="430"/>
      <c r="I7" s="513"/>
    </row>
    <row r="8" spans="1:11">
      <c r="A8" s="10" t="s">
        <v>526</v>
      </c>
      <c r="B8" s="37" t="str">
        <f>Language!A1046</f>
        <v>Streptococcus pneumoniae ATCC 49619</v>
      </c>
      <c r="C8" s="27"/>
      <c r="D8" s="528"/>
      <c r="E8" s="528"/>
      <c r="F8" s="40">
        <f t="shared" si="0"/>
        <v>0</v>
      </c>
      <c r="G8" s="18" t="str">
        <f t="shared" si="1"/>
        <v>'</v>
      </c>
      <c r="H8" s="430"/>
      <c r="I8" s="513"/>
    </row>
    <row r="9" spans="1:11">
      <c r="A9" s="10" t="s">
        <v>527</v>
      </c>
      <c r="B9" s="37" t="str">
        <f>Language!A1047</f>
        <v>E. coli ATCC 25922/CIP 76.24</v>
      </c>
      <c r="C9" s="27"/>
      <c r="D9" s="528"/>
      <c r="E9" s="528"/>
      <c r="F9" s="40">
        <f t="shared" si="0"/>
        <v>0</v>
      </c>
      <c r="G9" s="18" t="str">
        <f t="shared" si="1"/>
        <v>'</v>
      </c>
      <c r="H9" s="430"/>
      <c r="I9" s="513"/>
    </row>
    <row r="10" spans="1:11">
      <c r="A10" s="10" t="s">
        <v>528</v>
      </c>
      <c r="B10" s="37" t="str">
        <f>Language!A1048</f>
        <v>Pseudomonas aeruginosa ATCC 27853/CIP 76.110</v>
      </c>
      <c r="C10" s="27"/>
      <c r="D10" s="528"/>
      <c r="E10" s="528"/>
      <c r="F10" s="40">
        <f t="shared" si="0"/>
        <v>0</v>
      </c>
      <c r="G10" s="18" t="str">
        <f t="shared" si="1"/>
        <v>'</v>
      </c>
      <c r="H10" s="430"/>
      <c r="I10" s="513"/>
    </row>
    <row r="11" spans="1:11">
      <c r="A11" s="10"/>
      <c r="B11" s="20" t="str">
        <f>Language!A1049</f>
        <v>Are reference strains stored as follows?</v>
      </c>
      <c r="C11" s="22"/>
      <c r="F11" s="22"/>
      <c r="G11" s="18" t="str">
        <f t="shared" si="1"/>
        <v>'</v>
      </c>
    </row>
    <row r="12" spans="1:11">
      <c r="A12" s="10" t="s">
        <v>529</v>
      </c>
      <c r="B12" s="37" t="str">
        <f>Language!A1050</f>
        <v>Reference cultures (lyophilized state, from the manufacturer) maintained at &lt;-20°C</v>
      </c>
      <c r="C12" s="27"/>
      <c r="F12" s="29">
        <f>C12</f>
        <v>0</v>
      </c>
      <c r="G12" s="18" t="str">
        <f t="shared" si="1"/>
        <v>'</v>
      </c>
      <c r="H12" s="450"/>
    </row>
    <row r="13" spans="1:11" ht="41.4" customHeight="1">
      <c r="A13" s="10" t="s">
        <v>530</v>
      </c>
      <c r="B13" s="37" t="str">
        <f>Language!A1051</f>
        <v>Reference stock cultures (broth preparations of reference cultures) maintained at &lt;-20°C in a suitable stabilizer (10% -15% glycerol in tryptic soy broth, 50% fetal calf serum in broth, defibrinated sheep blood, or skim milk)</v>
      </c>
      <c r="C13" s="27"/>
      <c r="F13" s="29">
        <f>C13</f>
        <v>0</v>
      </c>
      <c r="G13" s="18" t="str">
        <f t="shared" si="1"/>
        <v>'</v>
      </c>
      <c r="H13" s="450"/>
    </row>
    <row r="14" spans="1:11" ht="27.6" customHeight="1">
      <c r="A14" s="10" t="s">
        <v>531</v>
      </c>
      <c r="B14" s="37" t="str">
        <f>Language!A1052</f>
        <v>Monthly working stock culture, or "F1", stored at 2-8°C for up to 4 weeks, then discarded</v>
      </c>
      <c r="C14" s="27"/>
      <c r="F14" s="29">
        <f>C14</f>
        <v>0</v>
      </c>
      <c r="G14" s="18" t="str">
        <f t="shared" si="1"/>
        <v>'</v>
      </c>
      <c r="H14" s="450"/>
    </row>
    <row r="15" spans="1:11" ht="27.6" customHeight="1">
      <c r="A15" s="10" t="s">
        <v>532</v>
      </c>
      <c r="B15" s="37" t="str">
        <f>Language!A1053</f>
        <v>Weekly working stock culture, or “F2”, stored at 2-8°C for up to 1 week, then discarded</v>
      </c>
      <c r="C15" s="27"/>
      <c r="F15" s="29">
        <f>C15</f>
        <v>0</v>
      </c>
      <c r="G15" s="18" t="str">
        <f t="shared" si="1"/>
        <v>'</v>
      </c>
      <c r="H15" s="450"/>
    </row>
    <row r="16" spans="1:11">
      <c r="A16" s="10" t="s">
        <v>533</v>
      </c>
      <c r="B16" s="37" t="str">
        <f>Language!A1054</f>
        <v>Daily subculture, or “F3”, discarded after one day of use.</v>
      </c>
      <c r="C16" s="27"/>
      <c r="F16" s="29">
        <f>C16</f>
        <v>0</v>
      </c>
      <c r="G16" s="18" t="str">
        <f t="shared" si="1"/>
        <v>'</v>
      </c>
      <c r="H16" s="450"/>
    </row>
    <row r="17" spans="1:9" ht="22.8" customHeight="1">
      <c r="A17" s="10"/>
      <c r="B17" s="640" t="str">
        <f>Language!A1055</f>
        <v>Standard: SANAS TG 28-02: 7.2.2 A reference culture is a microorganism preparation that is obtained from a culture type collection such as ATCC. A reference stock culture is a microorganism preparation derived from a reference culture. A working stock culture is growth derived from a reference stock culture. A subculture is the transfer of established microorganism growth on media to fresh media.</v>
      </c>
      <c r="C17" s="641"/>
      <c r="D17" s="641"/>
      <c r="E17" s="641"/>
      <c r="F17" s="641"/>
      <c r="G17" s="641"/>
      <c r="H17" s="641"/>
    </row>
    <row r="18" spans="1:9" ht="16.2" thickBot="1">
      <c r="A18" s="10"/>
    </row>
    <row r="19" spans="1:9" ht="16.2" thickBot="1">
      <c r="A19" s="166"/>
      <c r="B19" s="84" t="str">
        <f>Language!A1056</f>
        <v>SPECIAL AST REFERENCE STRAINS</v>
      </c>
      <c r="C19" s="73" t="str">
        <f>IF(COUNTBLANK(C21:C31)=11,"???",IF(COUNT(G21:G31)=0,"NA",AVERAGE(G21:G31)))</f>
        <v>???</v>
      </c>
      <c r="H19" s="446"/>
    </row>
    <row r="20" spans="1:9">
      <c r="A20" s="10"/>
      <c r="B20" s="8" t="str">
        <f>Language!A1057</f>
        <v>Does the lab have the following reference strains in stock? (CIP equivalents are also shown)</v>
      </c>
    </row>
    <row r="21" spans="1:9">
      <c r="A21" s="10" t="s">
        <v>534</v>
      </c>
      <c r="B21" s="37" t="str">
        <f>Language!A1058</f>
        <v>Staphylococcus aureus ATCC 43300 (mecA-positive, MRSA)</v>
      </c>
      <c r="C21" s="27"/>
      <c r="D21" s="528"/>
      <c r="E21" s="528"/>
      <c r="F21" s="40">
        <f t="shared" ref="F21:F29" si="2">C21</f>
        <v>0</v>
      </c>
      <c r="G21" s="18" t="str">
        <f t="shared" ref="G21:G31" si="3">IF(F21="Yes",1,IF(F21="No",0,"'"))</f>
        <v>'</v>
      </c>
      <c r="H21" s="430"/>
      <c r="I21" s="513"/>
    </row>
    <row r="22" spans="1:9">
      <c r="A22" s="10" t="s">
        <v>535</v>
      </c>
      <c r="B22" s="37" t="str">
        <f>Language!A1059</f>
        <v>Staphylococcus aureus ATCC BAA-976 (msrA-positive, Dzone negative)</v>
      </c>
      <c r="C22" s="27"/>
      <c r="D22" s="528"/>
      <c r="E22" s="528"/>
      <c r="F22" s="40">
        <f t="shared" si="2"/>
        <v>0</v>
      </c>
      <c r="G22" s="18" t="str">
        <f t="shared" si="3"/>
        <v>'</v>
      </c>
      <c r="H22" s="430"/>
      <c r="I22" s="513"/>
    </row>
    <row r="23" spans="1:9">
      <c r="A23" s="10" t="s">
        <v>536</v>
      </c>
      <c r="B23" s="37" t="str">
        <f>Language!A1060</f>
        <v>Staphylococcus aureus ATCC BAA-977 (ermA-positive, Dzone positive)</v>
      </c>
      <c r="C23" s="27"/>
      <c r="D23" s="528"/>
      <c r="E23" s="528"/>
      <c r="F23" s="40">
        <f t="shared" si="2"/>
        <v>0</v>
      </c>
      <c r="G23" s="18" t="str">
        <f t="shared" si="3"/>
        <v>'</v>
      </c>
      <c r="H23" s="430"/>
      <c r="I23" s="513"/>
    </row>
    <row r="24" spans="1:9">
      <c r="A24" s="10" t="s">
        <v>537</v>
      </c>
      <c r="B24" s="37" t="str">
        <f>Language!A1061</f>
        <v>Enterococcus faecalis ATCC 51299/CIP 104676 (vanB-positive, VRE)</v>
      </c>
      <c r="C24" s="27"/>
      <c r="D24" s="528"/>
      <c r="E24" s="528"/>
      <c r="F24" s="40">
        <f t="shared" si="2"/>
        <v>0</v>
      </c>
      <c r="G24" s="18" t="str">
        <f t="shared" si="3"/>
        <v>'</v>
      </c>
      <c r="H24" s="430"/>
      <c r="I24" s="513"/>
    </row>
    <row r="25" spans="1:9">
      <c r="A25" s="10" t="s">
        <v>538</v>
      </c>
      <c r="B25" s="37" t="str">
        <f>Language!A1062</f>
        <v>E.coli ATCC 13353 (CTX-M-15 ESBL-positive)</v>
      </c>
      <c r="C25" s="27"/>
      <c r="D25" s="528"/>
      <c r="E25" s="528"/>
      <c r="F25" s="40">
        <f t="shared" si="2"/>
        <v>0</v>
      </c>
      <c r="G25" s="18" t="str">
        <f t="shared" si="3"/>
        <v>'</v>
      </c>
      <c r="H25" s="430"/>
      <c r="I25" s="513"/>
    </row>
    <row r="26" spans="1:9">
      <c r="A26" s="10" t="s">
        <v>539</v>
      </c>
      <c r="B26" s="37" t="str">
        <f>Language!A1063</f>
        <v>E.coli ATCC 35218 (TEM-1 positive)</v>
      </c>
      <c r="C26" s="27"/>
      <c r="D26" s="528"/>
      <c r="E26" s="528"/>
      <c r="F26" s="40">
        <f t="shared" si="2"/>
        <v>0</v>
      </c>
      <c r="G26" s="18" t="str">
        <f t="shared" si="3"/>
        <v>'</v>
      </c>
      <c r="H26" s="430"/>
      <c r="I26" s="513"/>
    </row>
    <row r="27" spans="1:9">
      <c r="A27" s="10" t="s">
        <v>540</v>
      </c>
      <c r="B27" s="37" t="str">
        <f>Language!A1064</f>
        <v>Klebsiella pneumoniae ATCC 700603 (SHV-18, OXA-2) ESBL test QC</v>
      </c>
      <c r="C27" s="27"/>
      <c r="D27" s="528"/>
      <c r="E27" s="528"/>
      <c r="F27" s="40">
        <f t="shared" si="2"/>
        <v>0</v>
      </c>
      <c r="G27" s="18" t="str">
        <f t="shared" si="3"/>
        <v>'</v>
      </c>
      <c r="H27" s="430"/>
      <c r="I27" s="513"/>
    </row>
    <row r="28" spans="1:9">
      <c r="A28" s="10" t="s">
        <v>541</v>
      </c>
      <c r="B28" s="37" t="str">
        <f>Language!A1065</f>
        <v>Klebsiella pneumoniae ATCC BAA-1705 (TEM, SHV, KPC-2) carbapenemase test QC</v>
      </c>
      <c r="C28" s="27"/>
      <c r="D28" s="528"/>
      <c r="E28" s="528"/>
      <c r="F28" s="40">
        <f t="shared" si="2"/>
        <v>0</v>
      </c>
      <c r="G28" s="18" t="str">
        <f t="shared" si="3"/>
        <v>'</v>
      </c>
      <c r="H28" s="430"/>
      <c r="I28" s="513"/>
    </row>
    <row r="29" spans="1:9">
      <c r="A29" s="10" t="s">
        <v>542</v>
      </c>
      <c r="B29" s="37" t="str">
        <f>Language!A1066</f>
        <v>Klebsiella pneumoniae ATCC BAA-1706 (Resistant to carbapenems by non-carbapenemase method)</v>
      </c>
      <c r="C29" s="27"/>
      <c r="D29" s="528"/>
      <c r="E29" s="528"/>
      <c r="F29" s="40">
        <f t="shared" si="2"/>
        <v>0</v>
      </c>
      <c r="G29" s="18" t="str">
        <f t="shared" si="3"/>
        <v>'</v>
      </c>
      <c r="H29" s="430"/>
      <c r="I29" s="513"/>
    </row>
    <row r="30" spans="1:9" ht="27.6" customHeight="1">
      <c r="A30" s="10"/>
      <c r="B30" s="20" t="str">
        <f>Language!A1067</f>
        <v>Some QC strains with plasmid-mediated resistance have been shown to lose the plasmid when stored at temperatures above -60°C</v>
      </c>
      <c r="C30" s="22"/>
      <c r="F30" s="29"/>
      <c r="G30" s="18"/>
      <c r="H30" s="528"/>
    </row>
    <row r="31" spans="1:9">
      <c r="A31" s="10" t="s">
        <v>543</v>
      </c>
      <c r="B31" s="37" t="str">
        <f>Language!A1068</f>
        <v>Are these special AST reference strains maintained at &lt;-60°C?</v>
      </c>
      <c r="C31" s="27"/>
      <c r="F31" s="29">
        <f>C31</f>
        <v>0</v>
      </c>
      <c r="G31" s="18" t="str">
        <f t="shared" si="3"/>
        <v>'</v>
      </c>
      <c r="H31" s="450"/>
    </row>
    <row r="32" spans="1:9" ht="16.2" thickBot="1">
      <c r="A32" s="10"/>
      <c r="B32" s="470"/>
    </row>
    <row r="33" spans="1:9" ht="16.2" thickBot="1">
      <c r="A33" s="166"/>
      <c r="B33" s="84" t="str">
        <f>Language!A1069</f>
        <v>QC OF DISC DIFFUSION AST METHODS</v>
      </c>
      <c r="C33" s="73" t="str">
        <f>IF(C34="No","NA",IF(COUNTBLANK(C36:C48)=13,"???",IF(COUNT(G36:G48)=0,"NA",AVERAGE(G36:G48))))</f>
        <v>???</v>
      </c>
      <c r="H33" s="446"/>
    </row>
    <row r="34" spans="1:9">
      <c r="A34" s="10" t="s">
        <v>544</v>
      </c>
      <c r="B34" s="8" t="str">
        <f>Language!A1070</f>
        <v xml:space="preserve">Does the lab perform the disk diffusion method of AST? </v>
      </c>
      <c r="C34" s="27"/>
      <c r="F34" s="29">
        <f>C34</f>
        <v>0</v>
      </c>
      <c r="H34" s="450"/>
    </row>
    <row r="35" spans="1:9">
      <c r="A35" s="10"/>
      <c r="B35" s="465" t="str">
        <f>Language!A1071</f>
        <v>If no, answer NA until 7.31</v>
      </c>
      <c r="F35" s="22"/>
      <c r="H35" s="182"/>
    </row>
    <row r="36" spans="1:9" ht="27.6" customHeight="1">
      <c r="A36" s="10" t="s">
        <v>545</v>
      </c>
      <c r="B36" s="20" t="str">
        <f>Language!A1072</f>
        <v>Is antibiotic disk QC performed before placing newly received lot numbers/shipments into use? (Review QC records to confirm)</v>
      </c>
      <c r="C36" s="27"/>
      <c r="F36" s="29">
        <f>C36</f>
        <v>0</v>
      </c>
      <c r="G36" s="18" t="str">
        <f t="shared" ref="G36" si="4">IF(F36="Yes",1,IF(F36="No",0,"'"))</f>
        <v>'</v>
      </c>
      <c r="H36" s="531"/>
      <c r="I36" s="18" t="str">
        <f>IF(C36="No","Red Flag","'")</f>
        <v>'</v>
      </c>
    </row>
    <row r="37" spans="1:9">
      <c r="A37" s="10"/>
      <c r="B37" s="45" t="str">
        <f>Language!A1444</f>
        <v>IMPORTANT! Please read the information below before proceeding:</v>
      </c>
      <c r="C37" s="27"/>
      <c r="F37" s="29"/>
      <c r="G37" s="18"/>
      <c r="H37" s="548"/>
      <c r="I37" s="18"/>
    </row>
    <row r="38" spans="1:9" ht="27.6" customHeight="1">
      <c r="A38" s="10"/>
      <c r="B38" s="408" t="str">
        <f>Language!A1073</f>
        <v xml:space="preserve">CLSI and EUCAST require that all antibiotic QC is performed each day of patient testing, not only when a new lot number is received. </v>
      </c>
      <c r="C38" s="22"/>
      <c r="F38" s="22"/>
    </row>
    <row r="39" spans="1:9" ht="55.2" customHeight="1">
      <c r="A39" s="10"/>
      <c r="B39" s="408" t="str">
        <f>Language!A1074</f>
        <v>Labs that wish to reduce the frequency of antibiotic QC from daily to weekly may do so after demonstrating satisfactory performance with daily QC using one of two plans described in CLSI M02, section 4.7. Either the 20-30 day plan, or the 15-replicate plan.</v>
      </c>
      <c r="C39" s="22"/>
      <c r="F39" s="22"/>
    </row>
    <row r="40" spans="1:9" ht="27.6" customHeight="1">
      <c r="A40" s="10" t="s">
        <v>546</v>
      </c>
      <c r="B40" s="8" t="str">
        <f>Language!A1075</f>
        <v>Is there documentation showing that the lab has successfully completed either the 20-30 day plan or the 15-replicate (3- x 5-day) plan for all antibiotic disks in use? (Request to see)</v>
      </c>
      <c r="C40" s="27"/>
      <c r="F40" s="29">
        <f>C40</f>
        <v>0</v>
      </c>
      <c r="G40" s="18" t="str">
        <f t="shared" ref="G40" si="5">IF(F40="Yes",1,IF(F40="No",0,"'"))</f>
        <v>'</v>
      </c>
      <c r="H40" s="531"/>
    </row>
    <row r="41" spans="1:9" ht="27.6" customHeight="1">
      <c r="A41" s="10" t="s">
        <v>547</v>
      </c>
      <c r="B41" s="8" t="str">
        <f>Language!A1076</f>
        <v>Not including new lot QC, how often is antibiotic disk QC performed? (Confirm by reviewing QC records; go back several months)</v>
      </c>
      <c r="C41" s="27"/>
      <c r="F41" s="29">
        <f>C41</f>
        <v>0</v>
      </c>
      <c r="G41" s="18" t="str">
        <f>IF(F41=1,1,IF(F41=2,1,IF(F41=3,0.75,IF(F41=4,0.5,IF(F41=5,0,"'")))))</f>
        <v>'</v>
      </c>
      <c r="H41" s="531"/>
      <c r="I41" s="193" t="str">
        <f>IF(C41=5,"Red Flag","'")</f>
        <v>'</v>
      </c>
    </row>
    <row r="42" spans="1:9" ht="41.4" customHeight="1">
      <c r="A42" s="10"/>
      <c r="B42" s="465" t="str">
        <f>Language!A1077</f>
        <v>1: Each day that disk AST is performed on patients – 2: Weekly – 3: Every other week – 4: Monthly - 5: Other (describe in comments) – NA: disk method not used</v>
      </c>
      <c r="G42" s="201"/>
    </row>
    <row r="43" spans="1:9" ht="27.6" customHeight="1">
      <c r="A43" s="10"/>
      <c r="B43" s="8" t="str">
        <f>Language!A1078</f>
        <v>Is antibiotic disk QC performed using the recommended ATCC reference strains below? (Review QC records to confirm)</v>
      </c>
      <c r="C43" s="22"/>
      <c r="F43" s="22"/>
      <c r="G43" s="201"/>
      <c r="I43" s="201"/>
    </row>
    <row r="44" spans="1:9">
      <c r="A44" s="10" t="s">
        <v>548</v>
      </c>
      <c r="B44" s="37" t="str">
        <f>Language!A1079</f>
        <v>Staphylococcus aureus ATCC 25923/CIP 76.25 (If CLSI standard used)</v>
      </c>
      <c r="C44" s="27"/>
      <c r="F44" s="29">
        <f>C44</f>
        <v>0</v>
      </c>
      <c r="G44" s="18" t="str">
        <f t="shared" ref="G44:G48" si="6">IF(F44="Yes",1,IF(F44="No",0,"'"))</f>
        <v>'</v>
      </c>
      <c r="H44" s="531"/>
    </row>
    <row r="45" spans="1:9">
      <c r="A45" s="10" t="s">
        <v>549</v>
      </c>
      <c r="B45" s="37" t="str">
        <f>Language!A1080</f>
        <v>Staphylococcus aureus ATCC 29213/CIP 103429 (If EUCAST standard used)</v>
      </c>
      <c r="C45" s="27"/>
      <c r="F45" s="29">
        <f>C45</f>
        <v>0</v>
      </c>
      <c r="G45" s="18" t="str">
        <f t="shared" si="6"/>
        <v>'</v>
      </c>
      <c r="H45" s="531"/>
    </row>
    <row r="46" spans="1:9">
      <c r="A46" s="10" t="s">
        <v>550</v>
      </c>
      <c r="B46" s="17" t="str">
        <f>Language!A1081</f>
        <v>E. coli ATCC 25922/CIP 76.24</v>
      </c>
      <c r="C46" s="27"/>
      <c r="F46" s="29">
        <f>C46</f>
        <v>0</v>
      </c>
      <c r="G46" s="18" t="str">
        <f t="shared" si="6"/>
        <v>'</v>
      </c>
      <c r="H46" s="531"/>
    </row>
    <row r="47" spans="1:9">
      <c r="A47" s="10" t="s">
        <v>551</v>
      </c>
      <c r="B47" s="17" t="str">
        <f>Language!A1082</f>
        <v>Pseudomonas aeruginosa ATCC 27853//CIP 76.110</v>
      </c>
      <c r="C47" s="27"/>
      <c r="F47" s="29">
        <f>C47</f>
        <v>0</v>
      </c>
      <c r="G47" s="18" t="str">
        <f t="shared" si="6"/>
        <v>'</v>
      </c>
      <c r="H47" s="531"/>
    </row>
    <row r="48" spans="1:9">
      <c r="A48" s="10" t="s">
        <v>552</v>
      </c>
      <c r="B48" s="17" t="str">
        <f>Language!A1083</f>
        <v>Streptococcus pneumoniae ATCC 49619</v>
      </c>
      <c r="C48" s="27"/>
      <c r="F48" s="29">
        <f>C48</f>
        <v>0</v>
      </c>
      <c r="G48" s="18" t="str">
        <f t="shared" si="6"/>
        <v>'</v>
      </c>
      <c r="H48" s="531"/>
    </row>
    <row r="49" spans="1:9" ht="16.2" thickBot="1">
      <c r="A49" s="10"/>
      <c r="B49" s="48"/>
    </row>
    <row r="50" spans="1:9" ht="16.2" thickBot="1">
      <c r="A50" s="166"/>
      <c r="B50" s="84" t="str">
        <f>Language!A1084</f>
        <v>QC OF GRADIENT STRIP AST METHODS</v>
      </c>
      <c r="C50" s="73" t="str">
        <f>IF(C51="No","NA",IF(COUNTBLANK(C53:C62)=10,"???",IF(COUNT(G53:G62)=0,"NA",AVERAGE(G53:G62))))</f>
        <v>???</v>
      </c>
      <c r="H50" s="446"/>
    </row>
    <row r="51" spans="1:9">
      <c r="A51" s="10" t="s">
        <v>553</v>
      </c>
      <c r="B51" s="8" t="str">
        <f>Language!A1085</f>
        <v>Does the lab use the gradient strip method of AST (Etest/Liofilechem)? (ungraded)</v>
      </c>
      <c r="C51" s="109"/>
      <c r="F51" s="29">
        <f>C51</f>
        <v>0</v>
      </c>
      <c r="H51" s="450"/>
    </row>
    <row r="52" spans="1:9">
      <c r="A52" s="10"/>
      <c r="B52" s="465" t="str">
        <f>Language!A1086</f>
        <v>If no, answer NA until 7.40</v>
      </c>
      <c r="H52" s="182"/>
    </row>
    <row r="53" spans="1:9" ht="27.6" customHeight="1">
      <c r="A53" s="10" t="s">
        <v>554</v>
      </c>
      <c r="B53" s="8" t="str">
        <f>Language!A1087</f>
        <v>Is gradient strip QC performed before placing new lot numbers/shipments into use? (Review QC records to confirm)</v>
      </c>
      <c r="C53" s="27"/>
      <c r="F53" s="29">
        <f>C53</f>
        <v>0</v>
      </c>
      <c r="G53" s="18" t="str">
        <f t="shared" ref="G53:G54" si="7">IF(F53="Yes",1,IF(F53="No",0,"'"))</f>
        <v>'</v>
      </c>
      <c r="H53" s="532"/>
      <c r="I53" s="18" t="str">
        <f>IF(C53="No","Red Flag","'")</f>
        <v>'</v>
      </c>
    </row>
    <row r="54" spans="1:9" ht="27.6" customHeight="1">
      <c r="A54" s="10" t="s">
        <v>555</v>
      </c>
      <c r="B54" s="8" t="str">
        <f>Language!A1088</f>
        <v>Is there documentation showing that the lab has successfully completed either the 20-30 day plan or the 15-replicate (3- x 5-day) plan for all antibiotic strips in use? (Request to see)</v>
      </c>
      <c r="C54" s="27"/>
      <c r="F54" s="29">
        <f>C54</f>
        <v>0</v>
      </c>
      <c r="G54" s="18" t="str">
        <f t="shared" si="7"/>
        <v>'</v>
      </c>
      <c r="H54" s="134"/>
    </row>
    <row r="55" spans="1:9" ht="27.6" customHeight="1">
      <c r="A55" s="10" t="s">
        <v>556</v>
      </c>
      <c r="B55" s="8" t="str">
        <f>Language!A1089</f>
        <v>Not including new lot QC, how often is antibiotic strip QC performed? (Confirm by reviewing QC records; go back several months)</v>
      </c>
      <c r="C55" s="27"/>
      <c r="F55" s="29">
        <f>C55</f>
        <v>0</v>
      </c>
      <c r="G55" s="18" t="str">
        <f>IF(F55=1,1,IF(F55=2,1,IF(F55=3,0.75,IF(F55=4,0.5,IF(F55=5,0,"'")))))</f>
        <v>'</v>
      </c>
      <c r="H55" s="532"/>
      <c r="I55" s="193" t="str">
        <f>IF(C55=5,"Red Flag","'")</f>
        <v>'</v>
      </c>
    </row>
    <row r="56" spans="1:9" ht="41.4" customHeight="1">
      <c r="A56" s="10"/>
      <c r="B56" s="465" t="str">
        <f>Language!A1090</f>
        <v>1: Each day that strip AST is performed on patients – 2: Weekly – 3: Every other week – 4: Monthly - 5: Other (describe in comments) – NA: strip method not used</v>
      </c>
      <c r="I56" s="533"/>
    </row>
    <row r="57" spans="1:9" ht="27.6" customHeight="1">
      <c r="A57" s="10"/>
      <c r="B57" s="8" t="str">
        <f>Language!A1091</f>
        <v>Is antibiotic strip QC performed using the recommended ATCC reference strains below? (Review QC records to confirm)</v>
      </c>
      <c r="C57" s="534"/>
      <c r="D57" s="534"/>
      <c r="E57" s="534"/>
      <c r="F57" s="534"/>
      <c r="G57" s="534"/>
    </row>
    <row r="58" spans="1:9">
      <c r="A58" s="10" t="s">
        <v>557</v>
      </c>
      <c r="B58" s="37" t="str">
        <f>Language!A1092</f>
        <v>Staphylococcus aureus ATCC 25923/CIP 76.25 (If CLSI standard used)</v>
      </c>
      <c r="C58" s="27"/>
      <c r="F58" s="29">
        <f>C58</f>
        <v>0</v>
      </c>
      <c r="G58" s="18" t="str">
        <f t="shared" ref="G58:G62" si="8">IF(F58="Yes",1,IF(F58="No",0,"'"))</f>
        <v>'</v>
      </c>
      <c r="H58" s="531"/>
    </row>
    <row r="59" spans="1:9">
      <c r="A59" s="10" t="s">
        <v>558</v>
      </c>
      <c r="B59" s="37" t="str">
        <f>Language!A1093</f>
        <v>Staphylococcus aureus ATCC 29213/CIP 103429 (If EUCAST standard used)</v>
      </c>
      <c r="C59" s="27"/>
      <c r="F59" s="29">
        <f>C59</f>
        <v>0</v>
      </c>
      <c r="G59" s="18" t="str">
        <f t="shared" si="8"/>
        <v>'</v>
      </c>
      <c r="H59" s="531"/>
    </row>
    <row r="60" spans="1:9">
      <c r="A60" s="10" t="s">
        <v>559</v>
      </c>
      <c r="B60" s="17" t="str">
        <f>Language!A1094</f>
        <v>E. coli ATCC 25922/CIP 76.24</v>
      </c>
      <c r="C60" s="27"/>
      <c r="F60" s="29">
        <f>C60</f>
        <v>0</v>
      </c>
      <c r="G60" s="18" t="str">
        <f t="shared" si="8"/>
        <v>'</v>
      </c>
      <c r="H60" s="531"/>
    </row>
    <row r="61" spans="1:9">
      <c r="A61" s="10" t="s">
        <v>560</v>
      </c>
      <c r="B61" s="17" t="str">
        <f>Language!A1095</f>
        <v>Pseudomonas aeruginosa ATCC 27853//CIP 76.110</v>
      </c>
      <c r="C61" s="27"/>
      <c r="F61" s="29">
        <f>C61</f>
        <v>0</v>
      </c>
      <c r="G61" s="18" t="str">
        <f t="shared" si="8"/>
        <v>'</v>
      </c>
      <c r="H61" s="531"/>
    </row>
    <row r="62" spans="1:9">
      <c r="A62" s="10" t="s">
        <v>562</v>
      </c>
      <c r="B62" s="17" t="str">
        <f>Language!A1096</f>
        <v>Streptococcus pneumoniae ATCC 49619</v>
      </c>
      <c r="C62" s="27"/>
      <c r="F62" s="29">
        <f>C62</f>
        <v>0</v>
      </c>
      <c r="G62" s="18" t="str">
        <f t="shared" si="8"/>
        <v>'</v>
      </c>
      <c r="H62" s="531"/>
    </row>
    <row r="63" spans="1:9" ht="16.2" thickBot="1">
      <c r="A63" s="10"/>
      <c r="B63" s="48"/>
    </row>
    <row r="64" spans="1:9" ht="16.2" thickBot="1">
      <c r="A64" s="166"/>
      <c r="B64" s="84" t="str">
        <f>Language!A1097</f>
        <v>QC OF AUTOMATED AST SYSTEMS</v>
      </c>
      <c r="C64" s="73" t="str">
        <f>IF(C65="No","NA",IF(COUNTBLANK(C67:C77)=11,"???",IF(COUNT(G67:G77)=0,"NA",AVERAGE(G67:G77))))</f>
        <v>???</v>
      </c>
      <c r="H64" s="446"/>
    </row>
    <row r="65" spans="1:9">
      <c r="A65" s="10" t="s">
        <v>561</v>
      </c>
      <c r="B65" s="8" t="str">
        <f>Language!A1098</f>
        <v>Does the lab use an automated instrument for AST? (e.g., Vitek, Phoenix, Microscan, etc)</v>
      </c>
      <c r="C65" s="46"/>
      <c r="F65" s="29">
        <f>C65</f>
        <v>0</v>
      </c>
      <c r="H65" s="450"/>
    </row>
    <row r="66" spans="1:9">
      <c r="A66" s="10"/>
      <c r="B66" s="465" t="str">
        <f>Language!A1099</f>
        <v>if No, answer NA until the end</v>
      </c>
      <c r="H66" s="182"/>
    </row>
    <row r="67" spans="1:9">
      <c r="A67" s="10" t="s">
        <v>563</v>
      </c>
      <c r="B67" s="8" t="str">
        <f>Language!A1100</f>
        <v>Are the antibiotic cards/trays stored at the manufacturer-recommended temperatures?</v>
      </c>
      <c r="C67" s="27"/>
      <c r="F67" s="29">
        <f>C67</f>
        <v>0</v>
      </c>
      <c r="G67" s="18" t="str">
        <f t="shared" ref="G67:G69" si="9">IF(F67="Yes",1,IF(F67="No",0,"'"))</f>
        <v>'</v>
      </c>
      <c r="H67" s="450"/>
    </row>
    <row r="68" spans="1:9" ht="27.6" customHeight="1">
      <c r="A68" s="10" t="s">
        <v>564</v>
      </c>
      <c r="B68" s="8" t="str">
        <f>Language!A1101</f>
        <v>Is QC of the antibiotic cards/trays performed before placing new lot numbers/shipments into use? (Review QC records to confirm)</v>
      </c>
      <c r="C68" s="27"/>
      <c r="F68" s="29">
        <f>C68</f>
        <v>0</v>
      </c>
      <c r="G68" s="18" t="str">
        <f t="shared" si="9"/>
        <v>'</v>
      </c>
      <c r="H68" s="531"/>
      <c r="I68" s="18" t="str">
        <f>IF(C68="No","Red Flag","'")</f>
        <v>'</v>
      </c>
    </row>
    <row r="69" spans="1:9" ht="27.6" customHeight="1">
      <c r="A69" s="10" t="s">
        <v>565</v>
      </c>
      <c r="B69" s="8" t="str">
        <f>Language!A1102</f>
        <v>Is there documentation showing that the lab has successfully completed either the 20-30 day plan or the 15-replicate (3- x 5-day) plan for all antibiotic cards/trays in use? (Request to see)</v>
      </c>
      <c r="C69" s="27"/>
      <c r="F69" s="29">
        <f>C69</f>
        <v>0</v>
      </c>
      <c r="G69" s="18" t="str">
        <f t="shared" si="9"/>
        <v>'</v>
      </c>
      <c r="H69" s="450"/>
    </row>
    <row r="70" spans="1:9" ht="27.6" customHeight="1">
      <c r="A70" s="10" t="s">
        <v>566</v>
      </c>
      <c r="B70" s="8" t="str">
        <f>Language!A1103</f>
        <v>Not including new lot QC, how often is antibiotic card/tray QC performed? (Confirm by reviewing QC records; go back several months)</v>
      </c>
      <c r="C70" s="27"/>
      <c r="F70" s="29">
        <f>C70</f>
        <v>0</v>
      </c>
      <c r="G70" s="18" t="str">
        <f>IF(F70=1,1,IF(F70=2,1,IF(F70=3,0.75,IF(F70=4,0.5,IF(F70=5,0,"'")))))</f>
        <v>'</v>
      </c>
      <c r="H70" s="531"/>
      <c r="I70" s="193" t="str">
        <f>IF(C70=5,"Red Flag","'")</f>
        <v>'</v>
      </c>
    </row>
    <row r="71" spans="1:9" ht="41.4" customHeight="1">
      <c r="A71" s="10"/>
      <c r="B71" s="465" t="str">
        <f>Language!A1104</f>
        <v>1: Each day that automated AST is performed on patients – 2: Weekly – 3: Every other week – 4: Monthly - 5: Other (describe in comments) – NA: automated method not used</v>
      </c>
      <c r="I71" s="533"/>
    </row>
    <row r="72" spans="1:9" ht="27.6" customHeight="1">
      <c r="A72" s="10"/>
      <c r="B72" s="8" t="str">
        <f>Language!A1105</f>
        <v>Is QC of automated AST systems performed using the recommended ATCC reference strains below? (Review QC records to confirm)</v>
      </c>
      <c r="C72" s="534"/>
      <c r="D72" s="534"/>
      <c r="E72" s="534"/>
      <c r="F72" s="534"/>
      <c r="G72" s="534"/>
    </row>
    <row r="73" spans="1:9">
      <c r="A73" s="10" t="s">
        <v>567</v>
      </c>
      <c r="B73" s="37" t="str">
        <f>Language!A1106</f>
        <v>Staphylococcus aureus ATCC 25923/CIP 76.25 (If CLSI standard used)</v>
      </c>
      <c r="C73" s="27"/>
      <c r="F73" s="29">
        <f>C73</f>
        <v>0</v>
      </c>
      <c r="G73" s="18" t="str">
        <f t="shared" ref="G73:G77" si="10">IF(F73="Yes",1,IF(F73="No",0,"'"))</f>
        <v>'</v>
      </c>
      <c r="H73" s="531"/>
    </row>
    <row r="74" spans="1:9">
      <c r="A74" s="10" t="s">
        <v>568</v>
      </c>
      <c r="B74" s="37" t="str">
        <f>Language!A1107</f>
        <v>Staphylococcus aureus ATCC 29213/CIP 103429 (If EUCAST standard used)</v>
      </c>
      <c r="C74" s="27"/>
      <c r="F74" s="29">
        <f>C74</f>
        <v>0</v>
      </c>
      <c r="G74" s="18" t="str">
        <f t="shared" si="10"/>
        <v>'</v>
      </c>
      <c r="H74" s="531"/>
    </row>
    <row r="75" spans="1:9">
      <c r="A75" s="10" t="s">
        <v>569</v>
      </c>
      <c r="B75" s="17" t="str">
        <f>Language!A1108</f>
        <v>E. coli ATCC 25922/CIP 76.24</v>
      </c>
      <c r="C75" s="27"/>
      <c r="F75" s="29">
        <f>C75</f>
        <v>0</v>
      </c>
      <c r="G75" s="18" t="str">
        <f t="shared" si="10"/>
        <v>'</v>
      </c>
      <c r="H75" s="531"/>
    </row>
    <row r="76" spans="1:9">
      <c r="A76" s="10" t="s">
        <v>570</v>
      </c>
      <c r="B76" s="17" t="str">
        <f>Language!A1109</f>
        <v>Pseudomonas aeruginosa ATCC 27853//CIP 76.110</v>
      </c>
      <c r="C76" s="27"/>
      <c r="F76" s="29">
        <f>C76</f>
        <v>0</v>
      </c>
      <c r="G76" s="18" t="str">
        <f t="shared" si="10"/>
        <v>'</v>
      </c>
      <c r="H76" s="531"/>
    </row>
    <row r="77" spans="1:9">
      <c r="A77" s="10" t="s">
        <v>1184</v>
      </c>
      <c r="B77" s="17" t="str">
        <f>Language!A1110</f>
        <v>Streptococcus pneumoniae ATCC 49619</v>
      </c>
      <c r="C77" s="27"/>
      <c r="F77" s="29">
        <f>C77</f>
        <v>0</v>
      </c>
      <c r="G77" s="18" t="str">
        <f t="shared" si="10"/>
        <v>'</v>
      </c>
      <c r="H77" s="531"/>
    </row>
    <row r="81" spans="2:2">
      <c r="B81" s="535"/>
    </row>
  </sheetData>
  <sheetProtection algorithmName="SHA-256" hashValue="O7PrbsEdlWmKn+zZk2xVD27I7GA5EGICaReo8cxv9VQ=" saltValue="LE/Tc4qL4n+3yyJc3Wg8yw==" spinCount="100000" sheet="1" selectLockedCells="1"/>
  <mergeCells count="1">
    <mergeCell ref="B17:H17"/>
  </mergeCells>
  <phoneticPr fontId="46" type="noConversion"/>
  <conditionalFormatting sqref="G30">
    <cfRule type="cellIs" dxfId="1388" priority="628" stopIfTrue="1" operator="lessThan">
      <formula>0.5</formula>
    </cfRule>
    <cfRule type="cellIs" dxfId="1387" priority="629" stopIfTrue="1" operator="between">
      <formula>0.5</formula>
      <formula>0.75</formula>
    </cfRule>
    <cfRule type="cellIs" dxfId="1386" priority="630" stopIfTrue="1" operator="greaterThan">
      <formula>0.75</formula>
    </cfRule>
  </conditionalFormatting>
  <conditionalFormatting sqref="G43">
    <cfRule type="cellIs" dxfId="1385" priority="625" stopIfTrue="1" operator="lessThan">
      <formula>0.5</formula>
    </cfRule>
    <cfRule type="cellIs" dxfId="1384" priority="626" stopIfTrue="1" operator="between">
      <formula>0.5</formula>
      <formula>0.75</formula>
    </cfRule>
    <cfRule type="cellIs" dxfId="1383" priority="627" stopIfTrue="1" operator="greaterThan">
      <formula>0.75</formula>
    </cfRule>
  </conditionalFormatting>
  <conditionalFormatting sqref="G41">
    <cfRule type="cellIs" dxfId="1382" priority="622" stopIfTrue="1" operator="lessThan">
      <formula>0.5</formula>
    </cfRule>
    <cfRule type="cellIs" dxfId="1381" priority="623" stopIfTrue="1" operator="between">
      <formula>0.5</formula>
      <formula>0.75</formula>
    </cfRule>
    <cfRule type="cellIs" dxfId="1380" priority="624" stopIfTrue="1" operator="greaterThan">
      <formula>0.75</formula>
    </cfRule>
  </conditionalFormatting>
  <conditionalFormatting sqref="C3">
    <cfRule type="cellIs" dxfId="1379" priority="607" stopIfTrue="1" operator="greaterThanOrEqual">
      <formula>0.8</formula>
    </cfRule>
    <cfRule type="cellIs" dxfId="1378" priority="608" stopIfTrue="1" operator="between">
      <formula>0.5</formula>
      <formula>0.799</formula>
    </cfRule>
    <cfRule type="cellIs" dxfId="1377" priority="609" stopIfTrue="1" operator="lessThan">
      <formula>0.5</formula>
    </cfRule>
  </conditionalFormatting>
  <conditionalFormatting sqref="G34">
    <cfRule type="cellIs" dxfId="1376" priority="406" stopIfTrue="1" operator="lessThan">
      <formula>0.5</formula>
    </cfRule>
    <cfRule type="cellIs" dxfId="1375" priority="407" stopIfTrue="1" operator="between">
      <formula>0.5</formula>
      <formula>0.75</formula>
    </cfRule>
    <cfRule type="cellIs" dxfId="1374" priority="408" stopIfTrue="1" operator="greaterThan">
      <formula>0.75</formula>
    </cfRule>
  </conditionalFormatting>
  <conditionalFormatting sqref="G66 G1 G52 G18 G30 G41:G43 G57 G78:G1048576 G49:G50 G32:G34 G63:G64 G3">
    <cfRule type="containsText" dxfId="1373" priority="345" stopIfTrue="1" operator="containsText" text="RED FLAG">
      <formula>NOT(ISERROR(SEARCH("RED FLAG",G1)))</formula>
    </cfRule>
  </conditionalFormatting>
  <conditionalFormatting sqref="C33">
    <cfRule type="cellIs" dxfId="1372" priority="182" stopIfTrue="1" operator="greaterThanOrEqual">
      <formula>0.8</formula>
    </cfRule>
    <cfRule type="cellIs" dxfId="1371" priority="183" stopIfTrue="1" operator="between">
      <formula>0.5</formula>
      <formula>0.799</formula>
    </cfRule>
    <cfRule type="cellIs" dxfId="1370" priority="184" stopIfTrue="1" operator="lessThan">
      <formula>0.5</formula>
    </cfRule>
  </conditionalFormatting>
  <conditionalFormatting sqref="C50">
    <cfRule type="cellIs" dxfId="1369" priority="179" stopIfTrue="1" operator="greaterThanOrEqual">
      <formula>0.8</formula>
    </cfRule>
    <cfRule type="cellIs" dxfId="1368" priority="180" stopIfTrue="1" operator="between">
      <formula>0.5</formula>
      <formula>0.799</formula>
    </cfRule>
    <cfRule type="cellIs" dxfId="1367" priority="181" stopIfTrue="1" operator="lessThan">
      <formula>0.5</formula>
    </cfRule>
  </conditionalFormatting>
  <conditionalFormatting sqref="C64">
    <cfRule type="cellIs" dxfId="1366" priority="176" stopIfTrue="1" operator="greaterThanOrEqual">
      <formula>0.8</formula>
    </cfRule>
    <cfRule type="cellIs" dxfId="1365" priority="177" stopIfTrue="1" operator="between">
      <formula>0.5</formula>
      <formula>0.799</formula>
    </cfRule>
    <cfRule type="cellIs" dxfId="1364" priority="178" stopIfTrue="1" operator="lessThan">
      <formula>0.5</formula>
    </cfRule>
  </conditionalFormatting>
  <conditionalFormatting sqref="C19">
    <cfRule type="cellIs" dxfId="1363" priority="143" stopIfTrue="1" operator="greaterThanOrEqual">
      <formula>0.8</formula>
    </cfRule>
    <cfRule type="cellIs" dxfId="1362" priority="144" stopIfTrue="1" operator="between">
      <formula>0.5</formula>
      <formula>0.799</formula>
    </cfRule>
    <cfRule type="cellIs" dxfId="1361" priority="145" stopIfTrue="1" operator="lessThan">
      <formula>0.5</formula>
    </cfRule>
  </conditionalFormatting>
  <conditionalFormatting sqref="G19:G20">
    <cfRule type="containsText" dxfId="1360" priority="130" stopIfTrue="1" operator="containsText" text="RED FLAG">
      <formula>NOT(ISERROR(SEARCH("RED FLAG",G19)))</formula>
    </cfRule>
  </conditionalFormatting>
  <conditionalFormatting sqref="G56">
    <cfRule type="containsText" dxfId="1359" priority="88" stopIfTrue="1" operator="containsText" text="RED FLAG">
      <formula>NOT(ISERROR(SEARCH("RED FLAG",G56)))</formula>
    </cfRule>
  </conditionalFormatting>
  <conditionalFormatting sqref="G71">
    <cfRule type="containsText" dxfId="1358" priority="73" stopIfTrue="1" operator="containsText" text="RED FLAG">
      <formula>NOT(ISERROR(SEARCH("RED FLAG",G71)))</formula>
    </cfRule>
  </conditionalFormatting>
  <conditionalFormatting sqref="G72">
    <cfRule type="containsText" dxfId="1357" priority="57" stopIfTrue="1" operator="containsText" text="RED FLAG">
      <formula>NOT(ISERROR(SEARCH("RED FLAG",G72)))</formula>
    </cfRule>
  </conditionalFormatting>
  <conditionalFormatting sqref="I36:I37">
    <cfRule type="cellIs" dxfId="1356" priority="54" stopIfTrue="1" operator="lessThan">
      <formula>0.5</formula>
    </cfRule>
    <cfRule type="cellIs" dxfId="1355" priority="55" stopIfTrue="1" operator="between">
      <formula>0.5</formula>
      <formula>0.75</formula>
    </cfRule>
    <cfRule type="cellIs" dxfId="1354" priority="56" stopIfTrue="1" operator="greaterThan">
      <formula>0.75</formula>
    </cfRule>
  </conditionalFormatting>
  <conditionalFormatting sqref="I36:I37">
    <cfRule type="containsText" dxfId="1353" priority="53" stopIfTrue="1" operator="containsText" text="RED FLAG">
      <formula>NOT(ISERROR(SEARCH("RED FLAG",I36)))</formula>
    </cfRule>
  </conditionalFormatting>
  <conditionalFormatting sqref="I53">
    <cfRule type="cellIs" dxfId="1352" priority="50" stopIfTrue="1" operator="lessThan">
      <formula>0.5</formula>
    </cfRule>
    <cfRule type="cellIs" dxfId="1351" priority="51" stopIfTrue="1" operator="between">
      <formula>0.5</formula>
      <formula>0.75</formula>
    </cfRule>
    <cfRule type="cellIs" dxfId="1350" priority="52" stopIfTrue="1" operator="greaterThan">
      <formula>0.75</formula>
    </cfRule>
  </conditionalFormatting>
  <conditionalFormatting sqref="I53">
    <cfRule type="containsText" dxfId="1349" priority="49" stopIfTrue="1" operator="containsText" text="RED FLAG">
      <formula>NOT(ISERROR(SEARCH("RED FLAG",I53)))</formula>
    </cfRule>
  </conditionalFormatting>
  <conditionalFormatting sqref="I68">
    <cfRule type="cellIs" dxfId="1348" priority="46" stopIfTrue="1" operator="lessThan">
      <formula>0.5</formula>
    </cfRule>
    <cfRule type="cellIs" dxfId="1347" priority="47" stopIfTrue="1" operator="between">
      <formula>0.5</formula>
      <formula>0.75</formula>
    </cfRule>
    <cfRule type="cellIs" dxfId="1346" priority="48" stopIfTrue="1" operator="greaterThan">
      <formula>0.75</formula>
    </cfRule>
  </conditionalFormatting>
  <conditionalFormatting sqref="I68">
    <cfRule type="containsText" dxfId="1345" priority="45" stopIfTrue="1" operator="containsText" text="RED FLAG">
      <formula>NOT(ISERROR(SEARCH("RED FLAG",I68)))</formula>
    </cfRule>
  </conditionalFormatting>
  <conditionalFormatting sqref="I41">
    <cfRule type="containsText" dxfId="1344" priority="43" operator="containsText" text="Red Flag">
      <formula>NOT(ISERROR(SEARCH("Red Flag",I41)))</formula>
    </cfRule>
  </conditionalFormatting>
  <conditionalFormatting sqref="I55">
    <cfRule type="containsText" dxfId="1343" priority="42" operator="containsText" text="Red Flag">
      <formula>NOT(ISERROR(SEARCH("Red Flag",I55)))</formula>
    </cfRule>
  </conditionalFormatting>
  <conditionalFormatting sqref="I70">
    <cfRule type="containsText" dxfId="1342" priority="41" operator="containsText" text="Red Flag">
      <formula>NOT(ISERROR(SEARCH("Red Flag",I70)))</formula>
    </cfRule>
  </conditionalFormatting>
  <conditionalFormatting sqref="G5:G16">
    <cfRule type="cellIs" dxfId="1341" priority="38" stopIfTrue="1" operator="lessThan">
      <formula>0.5</formula>
    </cfRule>
    <cfRule type="cellIs" dxfId="1340" priority="39" stopIfTrue="1" operator="between">
      <formula>0.5</formula>
      <formula>0.75</formula>
    </cfRule>
    <cfRule type="cellIs" dxfId="1339" priority="40" stopIfTrue="1" operator="greaterThan">
      <formula>0.75</formula>
    </cfRule>
  </conditionalFormatting>
  <conditionalFormatting sqref="G5:G16">
    <cfRule type="containsText" dxfId="1338" priority="37" stopIfTrue="1" operator="containsText" text="RED FLAG">
      <formula>NOT(ISERROR(SEARCH("RED FLAG",G5)))</formula>
    </cfRule>
  </conditionalFormatting>
  <conditionalFormatting sqref="G21:G29">
    <cfRule type="cellIs" dxfId="1337" priority="34" stopIfTrue="1" operator="lessThan">
      <formula>0.5</formula>
    </cfRule>
    <cfRule type="cellIs" dxfId="1336" priority="35" stopIfTrue="1" operator="between">
      <formula>0.5</formula>
      <formula>0.75</formula>
    </cfRule>
    <cfRule type="cellIs" dxfId="1335" priority="36" stopIfTrue="1" operator="greaterThan">
      <formula>0.75</formula>
    </cfRule>
  </conditionalFormatting>
  <conditionalFormatting sqref="G21:G29">
    <cfRule type="containsText" dxfId="1334" priority="33" stopIfTrue="1" operator="containsText" text="RED FLAG">
      <formula>NOT(ISERROR(SEARCH("RED FLAG",G21)))</formula>
    </cfRule>
  </conditionalFormatting>
  <conditionalFormatting sqref="G31">
    <cfRule type="cellIs" dxfId="1333" priority="30" stopIfTrue="1" operator="lessThan">
      <formula>0.5</formula>
    </cfRule>
    <cfRule type="cellIs" dxfId="1332" priority="31" stopIfTrue="1" operator="between">
      <formula>0.5</formula>
      <formula>0.75</formula>
    </cfRule>
    <cfRule type="cellIs" dxfId="1331" priority="32" stopIfTrue="1" operator="greaterThan">
      <formula>0.75</formula>
    </cfRule>
  </conditionalFormatting>
  <conditionalFormatting sqref="G31">
    <cfRule type="containsText" dxfId="1330" priority="29" stopIfTrue="1" operator="containsText" text="RED FLAG">
      <formula>NOT(ISERROR(SEARCH("RED FLAG",G31)))</formula>
    </cfRule>
  </conditionalFormatting>
  <conditionalFormatting sqref="G40 G36:G37">
    <cfRule type="cellIs" dxfId="1329" priority="26" stopIfTrue="1" operator="lessThan">
      <formula>0.5</formula>
    </cfRule>
    <cfRule type="cellIs" dxfId="1328" priority="27" stopIfTrue="1" operator="between">
      <formula>0.5</formula>
      <formula>0.75</formula>
    </cfRule>
    <cfRule type="cellIs" dxfId="1327" priority="28" stopIfTrue="1" operator="greaterThan">
      <formula>0.75</formula>
    </cfRule>
  </conditionalFormatting>
  <conditionalFormatting sqref="G40 G36:G37">
    <cfRule type="containsText" dxfId="1326" priority="25" stopIfTrue="1" operator="containsText" text="RED FLAG">
      <formula>NOT(ISERROR(SEARCH("RED FLAG",G36)))</formula>
    </cfRule>
  </conditionalFormatting>
  <conditionalFormatting sqref="G44:G48">
    <cfRule type="cellIs" dxfId="1325" priority="22" stopIfTrue="1" operator="lessThan">
      <formula>0.5</formula>
    </cfRule>
    <cfRule type="cellIs" dxfId="1324" priority="23" stopIfTrue="1" operator="between">
      <formula>0.5</formula>
      <formula>0.75</formula>
    </cfRule>
    <cfRule type="cellIs" dxfId="1323" priority="24" stopIfTrue="1" operator="greaterThan">
      <formula>0.75</formula>
    </cfRule>
  </conditionalFormatting>
  <conditionalFormatting sqref="G44:G48">
    <cfRule type="containsText" dxfId="1322" priority="21" stopIfTrue="1" operator="containsText" text="RED FLAG">
      <formula>NOT(ISERROR(SEARCH("RED FLAG",G44)))</formula>
    </cfRule>
  </conditionalFormatting>
  <conditionalFormatting sqref="G58:G62 G53:G54">
    <cfRule type="cellIs" dxfId="1321" priority="18" stopIfTrue="1" operator="lessThan">
      <formula>0.5</formula>
    </cfRule>
    <cfRule type="cellIs" dxfId="1320" priority="19" stopIfTrue="1" operator="between">
      <formula>0.5</formula>
      <formula>0.75</formula>
    </cfRule>
    <cfRule type="cellIs" dxfId="1319" priority="20" stopIfTrue="1" operator="greaterThan">
      <formula>0.75</formula>
    </cfRule>
  </conditionalFormatting>
  <conditionalFormatting sqref="G58:G62 G53:G54">
    <cfRule type="containsText" dxfId="1318" priority="17" stopIfTrue="1" operator="containsText" text="RED FLAG">
      <formula>NOT(ISERROR(SEARCH("RED FLAG",G53)))</formula>
    </cfRule>
  </conditionalFormatting>
  <conditionalFormatting sqref="G55">
    <cfRule type="cellIs" dxfId="1317" priority="14" stopIfTrue="1" operator="lessThan">
      <formula>0.5</formula>
    </cfRule>
    <cfRule type="cellIs" dxfId="1316" priority="15" stopIfTrue="1" operator="between">
      <formula>0.5</formula>
      <formula>0.75</formula>
    </cfRule>
    <cfRule type="cellIs" dxfId="1315" priority="16" stopIfTrue="1" operator="greaterThan">
      <formula>0.75</formula>
    </cfRule>
  </conditionalFormatting>
  <conditionalFormatting sqref="G55">
    <cfRule type="containsText" dxfId="1314" priority="13" stopIfTrue="1" operator="containsText" text="RED FLAG">
      <formula>NOT(ISERROR(SEARCH("RED FLAG",G55)))</formula>
    </cfRule>
  </conditionalFormatting>
  <conditionalFormatting sqref="G67:G69">
    <cfRule type="cellIs" dxfId="1313" priority="10" stopIfTrue="1" operator="lessThan">
      <formula>0.5</formula>
    </cfRule>
    <cfRule type="cellIs" dxfId="1312" priority="11" stopIfTrue="1" operator="between">
      <formula>0.5</formula>
      <formula>0.75</formula>
    </cfRule>
    <cfRule type="cellIs" dxfId="1311" priority="12" stopIfTrue="1" operator="greaterThan">
      <formula>0.75</formula>
    </cfRule>
  </conditionalFormatting>
  <conditionalFormatting sqref="G67:G69">
    <cfRule type="containsText" dxfId="1310" priority="9" stopIfTrue="1" operator="containsText" text="RED FLAG">
      <formula>NOT(ISERROR(SEARCH("RED FLAG",G67)))</formula>
    </cfRule>
  </conditionalFormatting>
  <conditionalFormatting sqref="G70">
    <cfRule type="cellIs" dxfId="1309" priority="6" stopIfTrue="1" operator="lessThan">
      <formula>0.5</formula>
    </cfRule>
    <cfRule type="cellIs" dxfId="1308" priority="7" stopIfTrue="1" operator="between">
      <formula>0.5</formula>
      <formula>0.75</formula>
    </cfRule>
    <cfRule type="cellIs" dxfId="1307" priority="8" stopIfTrue="1" operator="greaterThan">
      <formula>0.75</formula>
    </cfRule>
  </conditionalFormatting>
  <conditionalFormatting sqref="G70">
    <cfRule type="containsText" dxfId="1306" priority="5" stopIfTrue="1" operator="containsText" text="RED FLAG">
      <formula>NOT(ISERROR(SEARCH("RED FLAG",G70)))</formula>
    </cfRule>
  </conditionalFormatting>
  <conditionalFormatting sqref="G73:G77">
    <cfRule type="cellIs" dxfId="1305" priority="2" stopIfTrue="1" operator="lessThan">
      <formula>0.5</formula>
    </cfRule>
    <cfRule type="cellIs" dxfId="1304" priority="3" stopIfTrue="1" operator="between">
      <formula>0.5</formula>
      <formula>0.75</formula>
    </cfRule>
    <cfRule type="cellIs" dxfId="1303" priority="4" stopIfTrue="1" operator="greaterThan">
      <formula>0.75</formula>
    </cfRule>
  </conditionalFormatting>
  <conditionalFormatting sqref="G73:G77">
    <cfRule type="containsText" dxfId="1302" priority="1" stopIfTrue="1" operator="containsText" text="RED FLAG">
      <formula>NOT(ISERROR(SEARCH("RED FLAG",G73)))</formula>
    </cfRule>
  </conditionalFormatting>
  <dataValidations count="3">
    <dataValidation type="list" allowBlank="1" showInputMessage="1" showErrorMessage="1" sqref="C53:C54 C58:C62 C21:C23 C12:C16 C5:C7 C31 C44:C48 C67:C69 C73:C77 C36:C37" xr:uid="{00000000-0002-0000-0B00-000000000000}">
      <formula1>"Yes,No,NA"</formula1>
    </dataValidation>
    <dataValidation type="list" allowBlank="1" showInputMessage="1" showErrorMessage="1" sqref="C40 C51 C65 C24:C29 C8:C10 C34" xr:uid="{00000000-0002-0000-0B00-000001000000}">
      <formula1>"Yes,No"</formula1>
    </dataValidation>
    <dataValidation type="list" allowBlank="1" showInputMessage="1" showErrorMessage="1" sqref="C41 C55 C70" xr:uid="{00000000-0002-0000-0B00-000002000000}">
      <formula1>"1,2,3,4,5,NA"</formula1>
    </dataValidation>
  </dataValidations>
  <pageMargins left="0.25" right="0.25" top="0.75000000000000011" bottom="0.75000000000000011" header="0.30000000000000004" footer="0.30000000000000004"/>
  <pageSetup paperSize="9" scale="92" fitToHeight="3" orientation="landscape" r:id="rId1"/>
  <headerFooter>
    <oddFooter>&amp;C&amp;A -&amp;P</oddFooter>
  </headerFooter>
  <rowBreaks count="2" manualBreakCount="2">
    <brk id="31" max="4" man="1"/>
    <brk id="5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0070C0"/>
    <pageSetUpPr fitToPage="1"/>
  </sheetPr>
  <dimension ref="A1:L196"/>
  <sheetViews>
    <sheetView zoomScaleNormal="100" zoomScaleSheetLayoutView="90" zoomScalePageLayoutView="80" workbookViewId="0">
      <selection activeCell="C4" sqref="C4"/>
    </sheetView>
  </sheetViews>
  <sheetFormatPr defaultColWidth="11" defaultRowHeight="15.6"/>
  <cols>
    <col min="1" max="1" width="4.69921875" style="6" customWidth="1"/>
    <col min="2" max="2" width="82.19921875" style="28" customWidth="1"/>
    <col min="3" max="3" width="5.19921875" style="22" customWidth="1"/>
    <col min="4" max="4" width="3.69921875" style="22" customWidth="1"/>
    <col min="5" max="5" width="3.69921875" style="22" hidden="1" customWidth="1"/>
    <col min="6" max="6" width="5.19921875" style="22" hidden="1" customWidth="1"/>
    <col min="7" max="7" width="5.19921875" style="22" customWidth="1"/>
    <col min="8" max="8" width="37.69921875" style="205" customWidth="1"/>
    <col min="9" max="9" width="9.69921875" style="22" customWidth="1"/>
    <col min="10" max="12" width="11" style="201"/>
    <col min="13" max="16384" width="11" style="22"/>
  </cols>
  <sheetData>
    <row r="1" spans="1:12">
      <c r="A1" s="10"/>
      <c r="B1" s="58" t="str">
        <f>Language!A1111</f>
        <v>8- SPECIMEN COLLECTION, TRANSPORT &amp; MANAGEMENT</v>
      </c>
      <c r="C1" s="52" t="str">
        <f>IF(COUNT(G4:G331)=0,"???",AVERAGE(G4:G331))</f>
        <v>???</v>
      </c>
      <c r="F1" s="28"/>
      <c r="H1" s="199" t="str">
        <f>'Facility 1'!H1</f>
        <v>Comments</v>
      </c>
    </row>
    <row r="2" spans="1:12" ht="16.2" thickBot="1">
      <c r="A2" s="10"/>
      <c r="B2" s="210" t="str">
        <f>Language!A1112</f>
        <v>Please note: all questions refer only to clinical patient specimens, NOT to research  or environmental specimens</v>
      </c>
      <c r="C2" s="19"/>
      <c r="E2" s="28"/>
      <c r="F2" s="28"/>
    </row>
    <row r="3" spans="1:12" ht="16.2" thickBot="1">
      <c r="A3" s="166"/>
      <c r="B3" s="76" t="str">
        <f>Language!A1113</f>
        <v>SPECIMEN MANAGEMENT</v>
      </c>
      <c r="C3" s="73" t="str">
        <f>IF(COUNTBLANK(C4:C16)=13,"???",IF(COUNT(G4:G16)=0,"NA",AVERAGE(G4:G16)))</f>
        <v>???</v>
      </c>
      <c r="F3" s="29"/>
      <c r="G3" s="18"/>
      <c r="H3" s="446"/>
    </row>
    <row r="4" spans="1:12" ht="27.6" customHeight="1">
      <c r="A4" s="77" t="s">
        <v>571</v>
      </c>
      <c r="B4" s="20" t="str">
        <f>Language!A1114</f>
        <v>Does lab policy require that all specimens are accompanied by a laboratory-approved test requisition form?</v>
      </c>
      <c r="C4" s="27"/>
      <c r="D4" s="103"/>
      <c r="E4" s="103"/>
      <c r="F4" s="29">
        <f>C4</f>
        <v>0</v>
      </c>
      <c r="G4" s="18" t="str">
        <f>IF(F4="Yes",1,IF(F4="No",0,"'"))</f>
        <v>'</v>
      </c>
      <c r="H4" s="452"/>
    </row>
    <row r="5" spans="1:12" ht="27.6" customHeight="1">
      <c r="A5" s="77" t="s">
        <v>572</v>
      </c>
      <c r="B5" s="20" t="str">
        <f>Language!A1115</f>
        <v>Does the lab enforce a two-identifier system? (e.g., both patient name and a numeric identifier must be present on the requisition and on the specimen).</v>
      </c>
      <c r="C5" s="27"/>
      <c r="D5" s="103"/>
      <c r="E5" s="103"/>
      <c r="F5" s="29">
        <f>C5</f>
        <v>0</v>
      </c>
      <c r="G5" s="18" t="str">
        <f>IF(F5="Yes",1,IF(F5="No",0,"'"))</f>
        <v>'</v>
      </c>
      <c r="H5" s="452"/>
      <c r="I5" s="18" t="str">
        <f>IF(C5="No","Red Flag","'")</f>
        <v>'</v>
      </c>
    </row>
    <row r="6" spans="1:12">
      <c r="A6" s="77" t="s">
        <v>573</v>
      </c>
      <c r="B6" s="129" t="str">
        <f>Language!A1116</f>
        <v>Are sensitive specimens processed within one hour of reaching the laboratory?</v>
      </c>
      <c r="C6" s="27"/>
      <c r="D6" s="103"/>
      <c r="E6" s="103"/>
      <c r="F6" s="29">
        <f>C6</f>
        <v>0</v>
      </c>
      <c r="G6" s="18" t="str">
        <f>IF(F6="Yes",1,IF(F6="No",0,"'"))</f>
        <v>'</v>
      </c>
      <c r="H6" s="455"/>
    </row>
    <row r="7" spans="1:12" ht="41.4" customHeight="1">
      <c r="A7" s="77" t="s">
        <v>574</v>
      </c>
      <c r="B7" s="20" t="str">
        <f>Language!A1117</f>
        <v>When the bacteriology lab is closed, does another laboratory department process (culture) the specimens or ensure that they are stored at the proper temperatures? (Select NA if bacteriology lab does not close)</v>
      </c>
      <c r="C7" s="27"/>
      <c r="F7" s="29">
        <f>C7</f>
        <v>0</v>
      </c>
      <c r="G7" s="18" t="str">
        <f>IF(F7="Yes",1,IF(F7="No",0,"'"))</f>
        <v>'</v>
      </c>
      <c r="H7" s="450"/>
    </row>
    <row r="8" spans="1:12" s="519" customFormat="1">
      <c r="A8" s="536"/>
      <c r="B8" s="20" t="str">
        <f>Language!A1118</f>
        <v>Does the lab store specimens properly prior to and following testing?</v>
      </c>
      <c r="J8" s="201"/>
      <c r="K8" s="201"/>
      <c r="L8" s="201"/>
    </row>
    <row r="9" spans="1:12" s="519" customFormat="1">
      <c r="A9" s="77" t="s">
        <v>575</v>
      </c>
      <c r="B9" s="37" t="str">
        <f>Language!A1119</f>
        <v>Blood culture</v>
      </c>
      <c r="C9" s="545"/>
      <c r="D9" s="103"/>
      <c r="E9" s="103"/>
      <c r="F9" s="29">
        <f t="shared" ref="F9:F16" si="0">C9</f>
        <v>0</v>
      </c>
      <c r="G9" s="18" t="str">
        <f t="shared" ref="G9:G16" si="1">IF(F9="Yes",1,IF(F9="No",0,"'"))</f>
        <v>'</v>
      </c>
      <c r="H9" s="452"/>
      <c r="J9" s="201"/>
      <c r="K9" s="201"/>
      <c r="L9" s="201"/>
    </row>
    <row r="10" spans="1:12" s="519" customFormat="1">
      <c r="A10" s="77" t="s">
        <v>576</v>
      </c>
      <c r="B10" s="37" t="str">
        <f>Language!A1120</f>
        <v>Urine culture</v>
      </c>
      <c r="C10" s="27"/>
      <c r="D10" s="103"/>
      <c r="E10" s="103"/>
      <c r="F10" s="29">
        <f t="shared" si="0"/>
        <v>0</v>
      </c>
      <c r="G10" s="18" t="str">
        <f t="shared" si="1"/>
        <v>'</v>
      </c>
      <c r="H10" s="452"/>
      <c r="J10" s="201"/>
      <c r="K10" s="201"/>
      <c r="L10" s="201"/>
    </row>
    <row r="11" spans="1:12" s="519" customFormat="1">
      <c r="A11" s="77" t="s">
        <v>577</v>
      </c>
      <c r="B11" s="37" t="str">
        <f>Language!A1121</f>
        <v>Stool culture</v>
      </c>
      <c r="C11" s="27"/>
      <c r="D11" s="103"/>
      <c r="E11" s="103"/>
      <c r="F11" s="29">
        <f t="shared" si="0"/>
        <v>0</v>
      </c>
      <c r="G11" s="18" t="str">
        <f t="shared" si="1"/>
        <v>'</v>
      </c>
      <c r="H11" s="452"/>
      <c r="J11" s="201"/>
      <c r="K11" s="201"/>
      <c r="L11" s="201"/>
    </row>
    <row r="12" spans="1:12" s="519" customFormat="1">
      <c r="A12" s="77" t="s">
        <v>578</v>
      </c>
      <c r="B12" s="83" t="str">
        <f>Language!A1122</f>
        <v>Respiratory culture</v>
      </c>
      <c r="C12" s="27"/>
      <c r="D12" s="103"/>
      <c r="E12" s="103"/>
      <c r="F12" s="29">
        <f t="shared" si="0"/>
        <v>0</v>
      </c>
      <c r="G12" s="18" t="str">
        <f t="shared" si="1"/>
        <v>'</v>
      </c>
      <c r="H12" s="455"/>
      <c r="J12" s="201"/>
      <c r="K12" s="201"/>
      <c r="L12" s="201"/>
    </row>
    <row r="13" spans="1:12" s="519" customFormat="1">
      <c r="A13" s="77" t="s">
        <v>579</v>
      </c>
      <c r="B13" s="83" t="str">
        <f>Language!A1123</f>
        <v>Wound culture</v>
      </c>
      <c r="C13" s="27"/>
      <c r="D13" s="103"/>
      <c r="E13" s="103"/>
      <c r="F13" s="29">
        <f t="shared" si="0"/>
        <v>0</v>
      </c>
      <c r="G13" s="18" t="str">
        <f t="shared" si="1"/>
        <v>'</v>
      </c>
      <c r="H13" s="455"/>
      <c r="J13" s="201"/>
      <c r="K13" s="201"/>
      <c r="L13" s="201"/>
    </row>
    <row r="14" spans="1:12" s="519" customFormat="1">
      <c r="A14" s="77" t="s">
        <v>580</v>
      </c>
      <c r="B14" s="83" t="str">
        <f>Language!A1124</f>
        <v>Genital culture</v>
      </c>
      <c r="C14" s="27"/>
      <c r="D14" s="103"/>
      <c r="E14" s="103"/>
      <c r="F14" s="29">
        <f t="shared" si="0"/>
        <v>0</v>
      </c>
      <c r="G14" s="18" t="str">
        <f t="shared" si="1"/>
        <v>'</v>
      </c>
      <c r="H14" s="455"/>
      <c r="J14" s="201"/>
      <c r="K14" s="201"/>
      <c r="L14" s="201"/>
    </row>
    <row r="15" spans="1:12" s="519" customFormat="1">
      <c r="A15" s="77" t="s">
        <v>581</v>
      </c>
      <c r="B15" s="83" t="str">
        <f>Language!A1125</f>
        <v>Cerebrospinal fluid culture</v>
      </c>
      <c r="C15" s="27"/>
      <c r="D15" s="103"/>
      <c r="E15" s="103"/>
      <c r="F15" s="29">
        <f t="shared" si="0"/>
        <v>0</v>
      </c>
      <c r="G15" s="18" t="str">
        <f t="shared" si="1"/>
        <v>'</v>
      </c>
      <c r="H15" s="455"/>
      <c r="J15" s="201"/>
      <c r="K15" s="201"/>
      <c r="L15" s="201"/>
    </row>
    <row r="16" spans="1:12" s="519" customFormat="1">
      <c r="A16" s="77" t="s">
        <v>582</v>
      </c>
      <c r="B16" s="83" t="str">
        <f>Language!A1126</f>
        <v>Sterile body fluid culture (pleural, pericardial, peritoneal, synovial)</v>
      </c>
      <c r="C16" s="27"/>
      <c r="D16" s="103"/>
      <c r="E16" s="103"/>
      <c r="F16" s="29">
        <f t="shared" si="0"/>
        <v>0</v>
      </c>
      <c r="G16" s="18" t="str">
        <f t="shared" si="1"/>
        <v>'</v>
      </c>
      <c r="H16" s="455"/>
      <c r="J16" s="201"/>
      <c r="K16" s="201"/>
      <c r="L16" s="201"/>
    </row>
    <row r="17" spans="1:12" s="519" customFormat="1" ht="23.4" customHeight="1">
      <c r="A17" s="536"/>
      <c r="B17" s="647" t="str">
        <f>Language!A1127</f>
        <v>Standard: ISO 15189: 5.4.1, 5.4.5, 5.4.7, 5.4.8, 5.4.10, 5.4.11, 5.4.13 Standard: ISO 15189: 5.2.9, 5.4.14, 5.7.3 Specimens should be stored under the appropriate conditions to maintain the stability of the specimen. Specimens no longer required should be disposed of in a safe manner, according to biosafety regulations</v>
      </c>
      <c r="C17" s="648"/>
      <c r="D17" s="648"/>
      <c r="E17" s="648"/>
      <c r="F17" s="648"/>
      <c r="G17" s="648"/>
      <c r="H17" s="648"/>
      <c r="J17" s="201"/>
      <c r="K17" s="201"/>
      <c r="L17" s="201"/>
    </row>
    <row r="18" spans="1:12" ht="16.2" thickBot="1">
      <c r="A18" s="16"/>
      <c r="B18" s="471"/>
      <c r="C18" s="235"/>
      <c r="D18" s="514"/>
      <c r="E18" s="201"/>
      <c r="F18" s="201"/>
      <c r="G18" s="201"/>
      <c r="H18" s="471"/>
      <c r="L18" s="22"/>
    </row>
    <row r="19" spans="1:12" ht="16.2" thickBot="1">
      <c r="A19" s="166"/>
      <c r="B19" s="76" t="str">
        <f>Language!A1128</f>
        <v>SPECIMEN REJECTION</v>
      </c>
      <c r="C19" s="73" t="str">
        <f>IF(COUNTBLANK(C21:C36)=16,"???",IF(COUNT(G21:G36)=0,"NA",AVERAGE(G21:G36)))</f>
        <v>???</v>
      </c>
      <c r="F19" s="29"/>
      <c r="G19" s="18"/>
      <c r="H19" s="446"/>
    </row>
    <row r="20" spans="1:12">
      <c r="A20" s="10"/>
      <c r="B20" s="20" t="str">
        <f>Language!A1129</f>
        <v>Are rejection criteria written down in an SOP or bench aide for each specimen type?</v>
      </c>
    </row>
    <row r="21" spans="1:12" s="519" customFormat="1">
      <c r="A21" s="77" t="s">
        <v>583</v>
      </c>
      <c r="B21" s="37" t="str">
        <f>Language!A1130</f>
        <v>Blood culture</v>
      </c>
      <c r="C21" s="27"/>
      <c r="D21" s="103"/>
      <c r="E21" s="103"/>
      <c r="F21" s="29">
        <f t="shared" ref="F21:F36" si="2">C21</f>
        <v>0</v>
      </c>
      <c r="G21" s="18" t="str">
        <f t="shared" ref="G21:G30" si="3">IF(F21="Yes",1,IF(F21="No",0,"'"))</f>
        <v>'</v>
      </c>
      <c r="H21" s="452"/>
      <c r="J21" s="201"/>
      <c r="K21" s="201"/>
      <c r="L21" s="201"/>
    </row>
    <row r="22" spans="1:12" s="519" customFormat="1">
      <c r="A22" s="77" t="s">
        <v>584</v>
      </c>
      <c r="B22" s="37" t="str">
        <f>Language!A1131</f>
        <v>Urine culture</v>
      </c>
      <c r="C22" s="27"/>
      <c r="D22" s="103"/>
      <c r="E22" s="103"/>
      <c r="F22" s="29">
        <f t="shared" si="2"/>
        <v>0</v>
      </c>
      <c r="G22" s="18" t="str">
        <f t="shared" si="3"/>
        <v>'</v>
      </c>
      <c r="H22" s="452"/>
      <c r="J22" s="201"/>
      <c r="K22" s="201"/>
      <c r="L22" s="201"/>
    </row>
    <row r="23" spans="1:12" s="519" customFormat="1">
      <c r="A23" s="77" t="s">
        <v>585</v>
      </c>
      <c r="B23" s="37" t="str">
        <f>Language!A1132</f>
        <v>Stool culture</v>
      </c>
      <c r="C23" s="27"/>
      <c r="D23" s="103"/>
      <c r="E23" s="103"/>
      <c r="F23" s="29">
        <f t="shared" si="2"/>
        <v>0</v>
      </c>
      <c r="G23" s="18" t="str">
        <f t="shared" si="3"/>
        <v>'</v>
      </c>
      <c r="H23" s="452"/>
      <c r="J23" s="201"/>
      <c r="K23" s="201"/>
      <c r="L23" s="201"/>
    </row>
    <row r="24" spans="1:12" s="519" customFormat="1">
      <c r="A24" s="77" t="s">
        <v>586</v>
      </c>
      <c r="B24" s="83" t="str">
        <f>Language!A1133</f>
        <v>Respiratory culture</v>
      </c>
      <c r="C24" s="27"/>
      <c r="D24" s="103"/>
      <c r="E24" s="103"/>
      <c r="F24" s="29">
        <f t="shared" si="2"/>
        <v>0</v>
      </c>
      <c r="G24" s="18" t="str">
        <f t="shared" si="3"/>
        <v>'</v>
      </c>
      <c r="H24" s="455"/>
      <c r="J24" s="201"/>
      <c r="K24" s="201"/>
      <c r="L24" s="201"/>
    </row>
    <row r="25" spans="1:12" s="519" customFormat="1">
      <c r="A25" s="77" t="s">
        <v>587</v>
      </c>
      <c r="B25" s="83" t="str">
        <f>Language!A1134</f>
        <v>Wound culture</v>
      </c>
      <c r="C25" s="27"/>
      <c r="D25" s="103"/>
      <c r="E25" s="103"/>
      <c r="F25" s="29">
        <f t="shared" si="2"/>
        <v>0</v>
      </c>
      <c r="G25" s="18" t="str">
        <f t="shared" si="3"/>
        <v>'</v>
      </c>
      <c r="H25" s="455"/>
      <c r="J25" s="201"/>
      <c r="K25" s="201"/>
      <c r="L25" s="201"/>
    </row>
    <row r="26" spans="1:12" s="519" customFormat="1">
      <c r="A26" s="77" t="s">
        <v>588</v>
      </c>
      <c r="B26" s="83" t="str">
        <f>Language!A1135</f>
        <v>Genital culture</v>
      </c>
      <c r="C26" s="27"/>
      <c r="D26" s="103"/>
      <c r="E26" s="103"/>
      <c r="F26" s="29">
        <f t="shared" si="2"/>
        <v>0</v>
      </c>
      <c r="G26" s="18" t="str">
        <f t="shared" si="3"/>
        <v>'</v>
      </c>
      <c r="H26" s="455"/>
      <c r="J26" s="201"/>
      <c r="K26" s="201"/>
      <c r="L26" s="201"/>
    </row>
    <row r="27" spans="1:12" s="519" customFormat="1">
      <c r="A27" s="77" t="s">
        <v>589</v>
      </c>
      <c r="B27" s="83" t="str">
        <f>Language!A1136</f>
        <v>Cerebrospinal fluid culture</v>
      </c>
      <c r="C27" s="27"/>
      <c r="D27" s="103"/>
      <c r="E27" s="103"/>
      <c r="F27" s="29">
        <f t="shared" si="2"/>
        <v>0</v>
      </c>
      <c r="G27" s="18" t="str">
        <f t="shared" si="3"/>
        <v>'</v>
      </c>
      <c r="H27" s="455"/>
      <c r="J27" s="201"/>
      <c r="K27" s="201"/>
      <c r="L27" s="201"/>
    </row>
    <row r="28" spans="1:12" s="519" customFormat="1">
      <c r="A28" s="77" t="s">
        <v>590</v>
      </c>
      <c r="B28" s="83" t="str">
        <f>Language!A1137</f>
        <v>Sterile body fluid culture (pleural, pericardial, peritoneal, synovial)</v>
      </c>
      <c r="C28" s="27"/>
      <c r="D28" s="103"/>
      <c r="E28" s="103"/>
      <c r="F28" s="29">
        <f t="shared" si="2"/>
        <v>0</v>
      </c>
      <c r="G28" s="18" t="str">
        <f t="shared" si="3"/>
        <v>'</v>
      </c>
      <c r="H28" s="455"/>
      <c r="J28" s="201"/>
      <c r="K28" s="201"/>
      <c r="L28" s="201"/>
    </row>
    <row r="29" spans="1:12" s="519" customFormat="1">
      <c r="A29" s="77" t="s">
        <v>591</v>
      </c>
      <c r="B29" s="129" t="str">
        <f>Language!A1138</f>
        <v>Are unlabeled specimens rejected?</v>
      </c>
      <c r="C29" s="27"/>
      <c r="D29" s="103"/>
      <c r="E29" s="103"/>
      <c r="F29" s="29">
        <f t="shared" si="2"/>
        <v>0</v>
      </c>
      <c r="G29" s="18" t="str">
        <f t="shared" si="3"/>
        <v>'</v>
      </c>
      <c r="H29" s="455"/>
      <c r="I29" s="18" t="str">
        <f>IF(C29="No","Red Flag","'")</f>
        <v>'</v>
      </c>
      <c r="J29" s="201"/>
      <c r="K29" s="201"/>
      <c r="L29" s="201"/>
    </row>
    <row r="30" spans="1:12" s="519" customFormat="1">
      <c r="A30" s="77" t="s">
        <v>592</v>
      </c>
      <c r="B30" s="129" t="str">
        <f>Language!A1139</f>
        <v>Are mislabeled specimens rejected?</v>
      </c>
      <c r="C30" s="27"/>
      <c r="D30" s="103"/>
      <c r="E30" s="103"/>
      <c r="F30" s="29">
        <f t="shared" si="2"/>
        <v>0</v>
      </c>
      <c r="G30" s="18" t="str">
        <f t="shared" si="3"/>
        <v>'</v>
      </c>
      <c r="H30" s="455"/>
      <c r="I30" s="18" t="str">
        <f>IF(C30="No","Red Flag","'")</f>
        <v>'</v>
      </c>
      <c r="J30" s="201"/>
      <c r="K30" s="201"/>
      <c r="L30" s="201"/>
    </row>
    <row r="31" spans="1:12" s="519" customFormat="1">
      <c r="A31" s="77" t="s">
        <v>593</v>
      </c>
      <c r="B31" s="129" t="str">
        <f>Language!A1140</f>
        <v>Are leaking specimens rejected?</v>
      </c>
      <c r="C31" s="27"/>
      <c r="D31" s="103"/>
      <c r="E31" s="103"/>
      <c r="F31" s="29">
        <f t="shared" si="2"/>
        <v>0</v>
      </c>
      <c r="G31" s="18" t="str">
        <f>IF(F31="Yes",1,IF(F31="No",0,"'"))</f>
        <v>'</v>
      </c>
      <c r="H31" s="455"/>
      <c r="J31" s="201"/>
      <c r="K31" s="201"/>
      <c r="L31" s="201"/>
    </row>
    <row r="32" spans="1:12" s="519" customFormat="1">
      <c r="A32" s="77" t="s">
        <v>594</v>
      </c>
      <c r="B32" s="129" t="str">
        <f>Language!A1141</f>
        <v>Are specimens rejected if not transported to the lab within established time limits?</v>
      </c>
      <c r="C32" s="27"/>
      <c r="D32" s="103"/>
      <c r="E32" s="103"/>
      <c r="F32" s="29">
        <f t="shared" si="2"/>
        <v>0</v>
      </c>
      <c r="G32" s="18" t="str">
        <f>IF(F32="Yes",1,IF(F32="No",0,"'"))</f>
        <v>'</v>
      </c>
      <c r="H32" s="455"/>
      <c r="J32" s="201"/>
      <c r="K32" s="201"/>
      <c r="L32" s="201"/>
    </row>
    <row r="33" spans="1:12" s="519" customFormat="1" ht="27.6">
      <c r="A33" s="77" t="s">
        <v>595</v>
      </c>
      <c r="B33" s="129" t="str">
        <f>Language!A1142</f>
        <v>Are specimens rejected if there is evidence that they were not maintained in proper conditions during and prior to transport?</v>
      </c>
      <c r="C33" s="27"/>
      <c r="D33" s="103"/>
      <c r="E33" s="103"/>
      <c r="F33" s="29">
        <f t="shared" si="2"/>
        <v>0</v>
      </c>
      <c r="G33" s="18" t="str">
        <f t="shared" ref="G33:G36" si="4">IF(F33="Yes",1,IF(F33="No",0,"'"))</f>
        <v>'</v>
      </c>
      <c r="H33" s="455"/>
      <c r="J33" s="201"/>
      <c r="K33" s="201"/>
      <c r="L33" s="201"/>
    </row>
    <row r="34" spans="1:12">
      <c r="A34" s="77" t="s">
        <v>596</v>
      </c>
      <c r="B34" s="20" t="str">
        <f>Language!A1143</f>
        <v>Is there evidence that specimen rejection criteria are enforced (review rejection log)?</v>
      </c>
      <c r="C34" s="27"/>
      <c r="D34" s="103"/>
      <c r="E34" s="103"/>
      <c r="F34" s="29">
        <f t="shared" si="2"/>
        <v>0</v>
      </c>
      <c r="G34" s="18" t="str">
        <f t="shared" si="4"/>
        <v>'</v>
      </c>
      <c r="H34" s="452"/>
    </row>
    <row r="35" spans="1:12">
      <c r="A35" s="77" t="s">
        <v>597</v>
      </c>
      <c r="B35" s="20" t="str">
        <f>Language!A1144</f>
        <v>Does the lab maintain quality indicators regarding the number of specimens rejected?</v>
      </c>
      <c r="C35" s="27"/>
      <c r="D35" s="103"/>
      <c r="E35" s="103"/>
      <c r="F35" s="29">
        <f t="shared" si="2"/>
        <v>0</v>
      </c>
      <c r="G35" s="18" t="str">
        <f t="shared" si="4"/>
        <v>'</v>
      </c>
      <c r="H35" s="455"/>
    </row>
    <row r="36" spans="1:12" ht="27.6" customHeight="1">
      <c r="A36" s="77" t="s">
        <v>598</v>
      </c>
      <c r="B36" s="20" t="str">
        <f>Language!A1145</f>
        <v>When specimens are rejected, does the lab notify the ward or clinic immediately so that a new specimen may be collected?</v>
      </c>
      <c r="C36" s="27"/>
      <c r="D36" s="103"/>
      <c r="E36" s="103"/>
      <c r="F36" s="29">
        <f t="shared" si="2"/>
        <v>0</v>
      </c>
      <c r="G36" s="18" t="str">
        <f t="shared" si="4"/>
        <v>'</v>
      </c>
      <c r="H36" s="452"/>
      <c r="I36" s="18" t="str">
        <f>IF(C36="No","Red Flag","'")</f>
        <v>'</v>
      </c>
    </row>
    <row r="37" spans="1:12" s="519" customFormat="1" ht="16.2" thickBot="1">
      <c r="A37" s="536"/>
      <c r="B37" s="510"/>
      <c r="H37" s="72"/>
      <c r="J37" s="201"/>
      <c r="K37" s="201"/>
      <c r="L37" s="201"/>
    </row>
    <row r="38" spans="1:12" ht="16.2" thickBot="1">
      <c r="A38" s="166"/>
      <c r="B38" s="76" t="str">
        <f>Language!A1146</f>
        <v>BLOOD SPECIMEN COLLECTION and TRANSPORT</v>
      </c>
      <c r="C38" s="73" t="str">
        <f>IF(COUNTBLANK(C39:C52)=14,"???",IF(COUNT(G39:G52)=0,"NA",AVERAGE(G39:G52)))</f>
        <v>???</v>
      </c>
      <c r="H38" s="446"/>
    </row>
    <row r="39" spans="1:12" ht="27.6" customHeight="1">
      <c r="A39" s="77" t="s">
        <v>599</v>
      </c>
      <c r="B39" s="20" t="str">
        <f>Language!A1147</f>
        <v>Does the lab provide blood culture specimen collection instructions/SOPs to patient sample collection areas?</v>
      </c>
      <c r="C39" s="27"/>
      <c r="D39" s="103"/>
      <c r="E39" s="103"/>
      <c r="F39" s="29">
        <f>C39</f>
        <v>0</v>
      </c>
      <c r="G39" s="18" t="str">
        <f t="shared" ref="G39" si="5">IF(F39="Yes",1,IF(F39="No",0,"'"))</f>
        <v>'</v>
      </c>
      <c r="H39" s="452"/>
    </row>
    <row r="40" spans="1:12" ht="27.6" customHeight="1">
      <c r="A40" s="77" t="s">
        <v>601</v>
      </c>
      <c r="B40" s="20" t="str">
        <f>Language!A1148</f>
        <v>Does the lab (or other department) provide annual training to clinical staff on blood culture specimen collection?</v>
      </c>
      <c r="C40" s="27"/>
      <c r="D40" s="103"/>
      <c r="E40" s="103"/>
      <c r="F40" s="29">
        <f>C40</f>
        <v>0</v>
      </c>
      <c r="G40" s="18" t="str">
        <f>IF(F40="Yes",1,IF(F40="No",0,"'"))</f>
        <v>'</v>
      </c>
      <c r="H40" s="452"/>
    </row>
    <row r="41" spans="1:12" ht="27.6" customHeight="1">
      <c r="A41" s="10"/>
      <c r="B41" s="20" t="str">
        <f>Language!A1149</f>
        <v>Review the blood culture specimen collection instructions. Does it address the following items? (If specimen collection instructions do not exist or are not available to review, answer "No" to each.)</v>
      </c>
      <c r="H41" s="519"/>
    </row>
    <row r="42" spans="1:12">
      <c r="A42" s="77" t="s">
        <v>602</v>
      </c>
      <c r="B42" s="83" t="str">
        <f>Language!A1150</f>
        <v>Collect prior to administering antibiotics to patient</v>
      </c>
      <c r="C42" s="27"/>
      <c r="D42" s="103"/>
      <c r="E42" s="103"/>
      <c r="F42" s="29">
        <f t="shared" ref="F42:F52" si="6">C42</f>
        <v>0</v>
      </c>
      <c r="G42" s="18" t="str">
        <f t="shared" ref="G42:G52" si="7">IF(F42="Yes",1,IF(F42="No",0,"'"))</f>
        <v>'</v>
      </c>
      <c r="H42" s="452"/>
    </row>
    <row r="43" spans="1:12">
      <c r="A43" s="77" t="s">
        <v>603</v>
      </c>
      <c r="B43" s="37" t="str">
        <f>Language!A1151</f>
        <v>Antiseptic skin preparation and aseptic collection technique</v>
      </c>
      <c r="C43" s="27"/>
      <c r="D43" s="103"/>
      <c r="E43" s="103"/>
      <c r="F43" s="29">
        <f t="shared" si="6"/>
        <v>0</v>
      </c>
      <c r="G43" s="18" t="str">
        <f t="shared" si="7"/>
        <v>'</v>
      </c>
      <c r="H43" s="452"/>
    </row>
    <row r="44" spans="1:12">
      <c r="A44" s="77" t="s">
        <v>600</v>
      </c>
      <c r="B44" s="37" t="str">
        <f>Language!A1152</f>
        <v>Antiseptic stopper preparation and aseptic inoculation of bottles</v>
      </c>
      <c r="C44" s="27"/>
      <c r="D44" s="103"/>
      <c r="E44" s="103"/>
      <c r="F44" s="29">
        <f t="shared" si="6"/>
        <v>0</v>
      </c>
      <c r="G44" s="18" t="str">
        <f t="shared" si="7"/>
        <v>'</v>
      </c>
      <c r="H44" s="452"/>
    </row>
    <row r="45" spans="1:12">
      <c r="A45" s="77" t="s">
        <v>604</v>
      </c>
      <c r="B45" s="37" t="str">
        <f>Language!A1153</f>
        <v>Minimum volume for adults (typically 10-15mL per bottle)</v>
      </c>
      <c r="C45" s="27"/>
      <c r="D45" s="103"/>
      <c r="E45" s="103"/>
      <c r="F45" s="29">
        <f t="shared" si="6"/>
        <v>0</v>
      </c>
      <c r="G45" s="18" t="str">
        <f t="shared" si="7"/>
        <v>'</v>
      </c>
      <c r="H45" s="452"/>
    </row>
    <row r="46" spans="1:12">
      <c r="A46" s="77" t="s">
        <v>605</v>
      </c>
      <c r="B46" s="37" t="str">
        <f>Language!A1154</f>
        <v>Minimum volume for children (typically 5-10mL per bottle)</v>
      </c>
      <c r="C46" s="27"/>
      <c r="D46" s="103"/>
      <c r="E46" s="103"/>
      <c r="F46" s="29">
        <f t="shared" si="6"/>
        <v>0</v>
      </c>
      <c r="G46" s="18" t="str">
        <f t="shared" si="7"/>
        <v>'</v>
      </c>
      <c r="H46" s="455"/>
    </row>
    <row r="47" spans="1:12">
      <c r="A47" s="77" t="s">
        <v>606</v>
      </c>
      <c r="B47" s="37" t="str">
        <f>Language!A1155</f>
        <v>Minimum volume for neonates (typically 0.5-1mL per bottle)</v>
      </c>
      <c r="C47" s="27"/>
      <c r="D47" s="103"/>
      <c r="E47" s="103"/>
      <c r="F47" s="29">
        <f t="shared" si="6"/>
        <v>0</v>
      </c>
      <c r="G47" s="18" t="str">
        <f t="shared" si="7"/>
        <v>'</v>
      </c>
      <c r="H47" s="455"/>
    </row>
    <row r="48" spans="1:12">
      <c r="A48" s="77" t="s">
        <v>607</v>
      </c>
      <c r="B48" s="111" t="str">
        <f>Language!A1156</f>
        <v>Does laboratory policy require that two "sets" of blood cultures are drawn?</v>
      </c>
      <c r="C48" s="27"/>
      <c r="D48" s="29"/>
      <c r="E48" s="29"/>
      <c r="F48" s="29">
        <f t="shared" si="6"/>
        <v>0</v>
      </c>
      <c r="G48" s="18" t="str">
        <f t="shared" si="7"/>
        <v>'</v>
      </c>
      <c r="H48" s="457"/>
    </row>
    <row r="49" spans="1:8">
      <c r="A49" s="77" t="s">
        <v>608</v>
      </c>
      <c r="B49" s="111" t="str">
        <f>Language!A1157</f>
        <v>Does the policy specify that each blood culture should be obtained from a different venipuncture site?</v>
      </c>
      <c r="C49" s="27"/>
      <c r="D49" s="29"/>
      <c r="E49" s="29"/>
      <c r="F49" s="29">
        <f t="shared" si="6"/>
        <v>0</v>
      </c>
      <c r="G49" s="18" t="str">
        <f t="shared" si="7"/>
        <v>'</v>
      </c>
      <c r="H49" s="455"/>
    </row>
    <row r="50" spans="1:8">
      <c r="A50" s="77" t="s">
        <v>609</v>
      </c>
      <c r="B50" s="37" t="str">
        <f>Language!A1158</f>
        <v>Proper bottle labeling (patient name, ID, date, time, venipuncture site)</v>
      </c>
      <c r="C50" s="27"/>
      <c r="D50" s="103"/>
      <c r="E50" s="103"/>
      <c r="F50" s="29">
        <f t="shared" si="6"/>
        <v>0</v>
      </c>
      <c r="G50" s="18" t="str">
        <f t="shared" si="7"/>
        <v>'</v>
      </c>
      <c r="H50" s="452"/>
    </row>
    <row r="51" spans="1:8">
      <c r="A51" s="77" t="s">
        <v>610</v>
      </c>
      <c r="B51" s="37" t="str">
        <f>Language!A1159</f>
        <v>Transport bottles to the lab within 1 hour of collection</v>
      </c>
      <c r="C51" s="27"/>
      <c r="D51" s="103"/>
      <c r="E51" s="103"/>
      <c r="F51" s="29">
        <f t="shared" si="6"/>
        <v>0</v>
      </c>
      <c r="G51" s="18" t="str">
        <f t="shared" si="7"/>
        <v>'</v>
      </c>
      <c r="H51" s="452"/>
    </row>
    <row r="52" spans="1:8" ht="27.6" customHeight="1">
      <c r="A52" s="77" t="s">
        <v>611</v>
      </c>
      <c r="B52" s="37" t="str">
        <f>Language!A1160</f>
        <v>If transport will be delayed, store bottles for automated systems at room temperature; store bottles for manual systems at 37°C.</v>
      </c>
      <c r="C52" s="27"/>
      <c r="D52" s="103"/>
      <c r="E52" s="103"/>
      <c r="F52" s="29">
        <f t="shared" si="6"/>
        <v>0</v>
      </c>
      <c r="G52" s="18" t="str">
        <f t="shared" si="7"/>
        <v>'</v>
      </c>
      <c r="H52" s="452"/>
    </row>
    <row r="53" spans="1:8" ht="16.2" thickBot="1">
      <c r="A53" s="10"/>
      <c r="B53" s="22"/>
    </row>
    <row r="54" spans="1:8" ht="16.2" thickBot="1">
      <c r="A54" s="166"/>
      <c r="B54" s="76" t="str">
        <f>Language!A1161</f>
        <v>URINE SPECIMEN COLLECTION and TRANSPORT</v>
      </c>
      <c r="C54" s="73" t="str">
        <f>IF(COUNTBLANK(C55:C64)=10,"???",IF(COUNT(G55:G64)=0,"NA",AVERAGE(G55:G64)))</f>
        <v>???</v>
      </c>
      <c r="H54" s="446"/>
    </row>
    <row r="55" spans="1:8" ht="27.6" customHeight="1">
      <c r="A55" s="120" t="s">
        <v>612</v>
      </c>
      <c r="B55" s="20" t="str">
        <f>Language!A1162</f>
        <v>Does the lab provide urine culture specimen collection instructions/SOPs to patient sample collection areas?</v>
      </c>
      <c r="C55" s="27"/>
      <c r="D55" s="103"/>
      <c r="E55" s="103"/>
      <c r="F55" s="29">
        <f>C55</f>
        <v>0</v>
      </c>
      <c r="G55" s="18" t="str">
        <f t="shared" ref="G55:G58" si="8">IF(F55="Yes",1,IF(F55="No",0,"'"))</f>
        <v>'</v>
      </c>
      <c r="H55" s="452"/>
    </row>
    <row r="56" spans="1:8" ht="27.6" customHeight="1">
      <c r="A56" s="120" t="s">
        <v>613</v>
      </c>
      <c r="B56" s="20" t="str">
        <f>Language!A1163</f>
        <v>Does the lab (or other department) provide annual refresher training to clinical staff on urine culture specimen collection?</v>
      </c>
      <c r="C56" s="27"/>
      <c r="D56" s="103"/>
      <c r="E56" s="103"/>
      <c r="F56" s="29">
        <f>C56</f>
        <v>0</v>
      </c>
      <c r="G56" s="18" t="str">
        <f t="shared" si="8"/>
        <v>'</v>
      </c>
      <c r="H56" s="452"/>
    </row>
    <row r="57" spans="1:8">
      <c r="A57" s="10"/>
      <c r="B57" s="20" t="str">
        <f>Language!A1164</f>
        <v>Review the urine culture specimen collection instructions. Does it address the following items?</v>
      </c>
    </row>
    <row r="58" spans="1:8">
      <c r="A58" s="77" t="s">
        <v>614</v>
      </c>
      <c r="B58" s="37" t="str">
        <f>Language!A1165</f>
        <v>Antiseptic cleaning instructions for women, men and infants</v>
      </c>
      <c r="C58" s="27"/>
      <c r="D58" s="103"/>
      <c r="E58" s="103"/>
      <c r="F58" s="29">
        <f>C58</f>
        <v>0</v>
      </c>
      <c r="G58" s="18" t="str">
        <f t="shared" si="8"/>
        <v>'</v>
      </c>
      <c r="H58" s="452"/>
    </row>
    <row r="59" spans="1:8">
      <c r="A59" s="77" t="s">
        <v>615</v>
      </c>
      <c r="B59" s="37" t="str">
        <f>Language!A1166</f>
        <v>Mid-stream or "clean catch" instructions</v>
      </c>
      <c r="C59" s="27"/>
      <c r="D59" s="103"/>
      <c r="E59" s="103"/>
      <c r="F59" s="29"/>
      <c r="G59" s="18"/>
      <c r="H59" s="455"/>
    </row>
    <row r="60" spans="1:8">
      <c r="A60" s="77" t="s">
        <v>616</v>
      </c>
      <c r="B60" s="37" t="str">
        <f>Language!A1167</f>
        <v>Sterile containers only</v>
      </c>
      <c r="C60" s="27"/>
      <c r="D60" s="103"/>
      <c r="E60" s="103"/>
      <c r="F60" s="29">
        <f>C60</f>
        <v>0</v>
      </c>
      <c r="G60" s="18" t="str">
        <f t="shared" ref="G60:G64" si="9">IF(F60="Yes",1,IF(F60="No",0,"'"))</f>
        <v>'</v>
      </c>
      <c r="H60" s="452"/>
    </row>
    <row r="61" spans="1:8">
      <c r="A61" s="77" t="s">
        <v>617</v>
      </c>
      <c r="B61" s="37" t="str">
        <f>Language!A1168</f>
        <v>Minimum volume (typically 3mL)</v>
      </c>
      <c r="C61" s="27"/>
      <c r="D61" s="103"/>
      <c r="E61" s="103"/>
      <c r="F61" s="29">
        <f>C61</f>
        <v>0</v>
      </c>
      <c r="G61" s="18" t="str">
        <f t="shared" si="9"/>
        <v>'</v>
      </c>
      <c r="H61" s="452"/>
    </row>
    <row r="62" spans="1:8">
      <c r="A62" s="77" t="s">
        <v>618</v>
      </c>
      <c r="B62" s="37" t="str">
        <f>Language!A1169</f>
        <v>Proper labeling instructions</v>
      </c>
      <c r="C62" s="27"/>
      <c r="D62" s="103"/>
      <c r="E62" s="103"/>
      <c r="F62" s="29">
        <f>C62</f>
        <v>0</v>
      </c>
      <c r="G62" s="18" t="str">
        <f t="shared" si="9"/>
        <v>'</v>
      </c>
      <c r="H62" s="452"/>
    </row>
    <row r="63" spans="1:8">
      <c r="A63" s="77" t="s">
        <v>1790</v>
      </c>
      <c r="B63" s="37" t="str">
        <f>Language!A1170</f>
        <v>Transport to lab at room temperature within 2 hours of collection</v>
      </c>
      <c r="C63" s="27"/>
      <c r="D63" s="528"/>
      <c r="E63" s="528"/>
      <c r="F63" s="29">
        <f>C63</f>
        <v>0</v>
      </c>
      <c r="G63" s="18" t="str">
        <f t="shared" si="9"/>
        <v>'</v>
      </c>
      <c r="H63" s="430"/>
    </row>
    <row r="64" spans="1:8" ht="16.2" thickBot="1">
      <c r="A64" s="77" t="s">
        <v>1791</v>
      </c>
      <c r="B64" s="37" t="str">
        <f>Language!A1171</f>
        <v>If transport will be delayed, store refrigerated for up to 24 hours</v>
      </c>
      <c r="C64" s="27"/>
      <c r="D64" s="103"/>
      <c r="E64" s="103"/>
      <c r="F64" s="29">
        <f>C64</f>
        <v>0</v>
      </c>
      <c r="G64" s="18" t="str">
        <f t="shared" si="9"/>
        <v>'</v>
      </c>
      <c r="H64" s="452"/>
    </row>
    <row r="65" spans="1:8" ht="16.2" thickBot="1">
      <c r="A65" s="166"/>
      <c r="B65" s="76" t="str">
        <f>Language!A1172</f>
        <v>STOOL SPECIMEN COLLECTION and TRANSPORT</v>
      </c>
      <c r="C65" s="73" t="str">
        <f>IF(COUNTBLANK(C66:C75)=10,"???",IF(COUNT(G66:G75)=0,"NA",AVERAGE(G66:G75)))</f>
        <v>???</v>
      </c>
      <c r="H65" s="446"/>
    </row>
    <row r="66" spans="1:8" ht="27.6" customHeight="1">
      <c r="A66" s="77" t="s">
        <v>1792</v>
      </c>
      <c r="B66" s="20" t="str">
        <f>Language!A1173</f>
        <v>Does the lab provide stool culture specimen collection instructions/SOPs to patient sample collection areas?</v>
      </c>
      <c r="C66" s="27"/>
      <c r="D66" s="103"/>
      <c r="E66" s="103"/>
      <c r="F66" s="29">
        <f>C66</f>
        <v>0</v>
      </c>
      <c r="G66" s="18" t="str">
        <f t="shared" ref="G66:G67" si="10">IF(F66="Yes",1,IF(F66="No",0,"'"))</f>
        <v>'</v>
      </c>
      <c r="H66" s="452"/>
    </row>
    <row r="67" spans="1:8" ht="27.6" customHeight="1">
      <c r="A67" s="77" t="s">
        <v>1793</v>
      </c>
      <c r="B67" s="20" t="str">
        <f>Language!A1174</f>
        <v>Does the lab (or other department) provide annual refresher training to clinical staff on stool culture specimen collection?</v>
      </c>
      <c r="C67" s="27"/>
      <c r="D67" s="103"/>
      <c r="E67" s="103"/>
      <c r="F67" s="29">
        <f>C67</f>
        <v>0</v>
      </c>
      <c r="G67" s="18" t="str">
        <f t="shared" si="10"/>
        <v>'</v>
      </c>
      <c r="H67" s="452"/>
    </row>
    <row r="68" spans="1:8">
      <c r="A68" s="10"/>
      <c r="B68" s="20" t="str">
        <f>Language!A1175</f>
        <v>Review the stool culture specimen collection instructions. Does it address the following items?</v>
      </c>
    </row>
    <row r="69" spans="1:8">
      <c r="A69" s="77" t="s">
        <v>1794</v>
      </c>
      <c r="B69" s="37" t="str">
        <f>Language!A1176</f>
        <v>Collection technique</v>
      </c>
      <c r="C69" s="27"/>
      <c r="D69" s="528"/>
      <c r="E69" s="528"/>
      <c r="F69" s="29">
        <f t="shared" ref="F69:F75" si="11">C69</f>
        <v>0</v>
      </c>
      <c r="G69" s="18" t="str">
        <f t="shared" ref="G69:G75" si="12">IF(F69="Yes",1,IF(F69="No",0,"'"))</f>
        <v>'</v>
      </c>
      <c r="H69" s="430"/>
    </row>
    <row r="70" spans="1:8">
      <c r="A70" s="77" t="s">
        <v>1795</v>
      </c>
      <c r="B70" s="37" t="str">
        <f>Language!A1177</f>
        <v>Approved containers</v>
      </c>
      <c r="C70" s="27"/>
      <c r="D70" s="528"/>
      <c r="E70" s="528"/>
      <c r="F70" s="29">
        <f t="shared" si="11"/>
        <v>0</v>
      </c>
      <c r="G70" s="18" t="str">
        <f t="shared" si="12"/>
        <v>'</v>
      </c>
      <c r="H70" s="430"/>
    </row>
    <row r="71" spans="1:8">
      <c r="A71" s="77" t="s">
        <v>1796</v>
      </c>
      <c r="B71" s="37" t="str">
        <f>Language!A1178</f>
        <v>Min/Max volume</v>
      </c>
      <c r="C71" s="27"/>
      <c r="D71" s="528"/>
      <c r="E71" s="528"/>
      <c r="F71" s="29">
        <f t="shared" si="11"/>
        <v>0</v>
      </c>
      <c r="G71" s="18" t="str">
        <f t="shared" si="12"/>
        <v>'</v>
      </c>
      <c r="H71" s="430"/>
    </row>
    <row r="72" spans="1:8">
      <c r="A72" s="77" t="s">
        <v>1797</v>
      </c>
      <c r="B72" s="37" t="str">
        <f>Language!A1179</f>
        <v>Proper labeling</v>
      </c>
      <c r="C72" s="27"/>
      <c r="D72" s="528"/>
      <c r="E72" s="528"/>
      <c r="F72" s="29">
        <f t="shared" si="11"/>
        <v>0</v>
      </c>
      <c r="G72" s="18" t="str">
        <f t="shared" si="12"/>
        <v>'</v>
      </c>
      <c r="H72" s="430"/>
    </row>
    <row r="73" spans="1:8">
      <c r="A73" s="77" t="s">
        <v>1798</v>
      </c>
      <c r="B73" s="37" t="str">
        <f>Language!A1180</f>
        <v>Transport to the lab at room temperature within 2 hours</v>
      </c>
      <c r="C73" s="27"/>
      <c r="D73" s="528"/>
      <c r="E73" s="528"/>
      <c r="F73" s="29">
        <f t="shared" si="11"/>
        <v>0</v>
      </c>
      <c r="G73" s="18" t="str">
        <f t="shared" si="12"/>
        <v>'</v>
      </c>
      <c r="H73" s="430"/>
    </row>
    <row r="74" spans="1:8" ht="27.6" customHeight="1">
      <c r="A74" s="77" t="s">
        <v>1799</v>
      </c>
      <c r="B74" s="37" t="str">
        <f>Language!A1181</f>
        <v>If transport will be delayed, place specimen in an approved transport medium (such as Cary-Blair) for up to 24 hours</v>
      </c>
      <c r="C74" s="27"/>
      <c r="D74" s="528"/>
      <c r="E74" s="528"/>
      <c r="F74" s="29">
        <f t="shared" si="11"/>
        <v>0</v>
      </c>
      <c r="G74" s="18" t="str">
        <f t="shared" si="12"/>
        <v>'</v>
      </c>
      <c r="H74" s="430"/>
    </row>
    <row r="75" spans="1:8" ht="27.6" customHeight="1">
      <c r="A75" s="77" t="s">
        <v>1802</v>
      </c>
      <c r="B75" s="37" t="str">
        <f>Language!A1182</f>
        <v>If transport will be delayed, do not refrigerate stool since some pathogens, especially Shigella spp, will die at low temperatures</v>
      </c>
      <c r="C75" s="27"/>
      <c r="D75" s="528"/>
      <c r="E75" s="528"/>
      <c r="F75" s="29">
        <f t="shared" si="11"/>
        <v>0</v>
      </c>
      <c r="G75" s="18" t="str">
        <f t="shared" si="12"/>
        <v>'</v>
      </c>
      <c r="H75" s="430"/>
    </row>
    <row r="76" spans="1:8">
      <c r="B76" s="8"/>
    </row>
    <row r="77" spans="1:8">
      <c r="B77" s="8"/>
    </row>
    <row r="78" spans="1:8">
      <c r="B78" s="8"/>
    </row>
    <row r="79" spans="1:8">
      <c r="B79" s="8"/>
    </row>
    <row r="80" spans="1:8">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sheetData>
  <sheetProtection algorithmName="SHA-256" hashValue="neGBZy2q6kmfgl4HipInE4jv0jDjKncKOg5T4+UGYqg=" saltValue="cFhwnzy5Y/Qndc4juQkduA==" spinCount="100000" sheet="1" selectLockedCells="1"/>
  <mergeCells count="1">
    <mergeCell ref="B17:H17"/>
  </mergeCells>
  <phoneticPr fontId="46" type="noConversion"/>
  <conditionalFormatting sqref="G3">
    <cfRule type="cellIs" dxfId="1301" priority="431" stopIfTrue="1" operator="lessThan">
      <formula>0.5</formula>
    </cfRule>
    <cfRule type="cellIs" dxfId="1300" priority="432" stopIfTrue="1" operator="between">
      <formula>0.5</formula>
      <formula>0.75</formula>
    </cfRule>
    <cfRule type="cellIs" dxfId="1299" priority="433" stopIfTrue="1" operator="greaterThan">
      <formula>0.75</formula>
    </cfRule>
  </conditionalFormatting>
  <conditionalFormatting sqref="G37 G1:G3 G76:G1048576">
    <cfRule type="containsText" dxfId="1298" priority="364" stopIfTrue="1" operator="containsText" text="RED FLAG">
      <formula>NOT(ISERROR(SEARCH("RED FLAG",G1)))</formula>
    </cfRule>
  </conditionalFormatting>
  <conditionalFormatting sqref="G38 G41">
    <cfRule type="containsText" dxfId="1297" priority="312" stopIfTrue="1" operator="containsText" text="RED FLAG">
      <formula>NOT(ISERROR(SEARCH("RED FLAG",G38)))</formula>
    </cfRule>
  </conditionalFormatting>
  <conditionalFormatting sqref="G59">
    <cfRule type="cellIs" dxfId="1296" priority="285" stopIfTrue="1" operator="lessThan">
      <formula>0.5</formula>
    </cfRule>
    <cfRule type="cellIs" dxfId="1295" priority="286" stopIfTrue="1" operator="between">
      <formula>0.5</formula>
      <formula>0.75</formula>
    </cfRule>
    <cfRule type="cellIs" dxfId="1294" priority="287" stopIfTrue="1" operator="greaterThan">
      <formula>0.75</formula>
    </cfRule>
  </conditionalFormatting>
  <conditionalFormatting sqref="G59">
    <cfRule type="containsText" dxfId="1293" priority="284" stopIfTrue="1" operator="containsText" text="RED FLAG">
      <formula>NOT(ISERROR(SEARCH("RED FLAG",G59)))</formula>
    </cfRule>
  </conditionalFormatting>
  <conditionalFormatting sqref="C38">
    <cfRule type="cellIs" dxfId="1292" priority="245" stopIfTrue="1" operator="greaterThanOrEqual">
      <formula>0.8</formula>
    </cfRule>
    <cfRule type="cellIs" dxfId="1291" priority="246" stopIfTrue="1" operator="between">
      <formula>0.5</formula>
      <formula>0.799</formula>
    </cfRule>
    <cfRule type="cellIs" dxfId="1290" priority="247" stopIfTrue="1" operator="lessThan">
      <formula>0.5</formula>
    </cfRule>
  </conditionalFormatting>
  <conditionalFormatting sqref="C3">
    <cfRule type="cellIs" dxfId="1289" priority="242" stopIfTrue="1" operator="greaterThanOrEqual">
      <formula>0.8</formula>
    </cfRule>
    <cfRule type="cellIs" dxfId="1288" priority="243" stopIfTrue="1" operator="between">
      <formula>0.5</formula>
      <formula>0.799</formula>
    </cfRule>
    <cfRule type="cellIs" dxfId="1287" priority="244" stopIfTrue="1" operator="lessThan">
      <formula>0.5</formula>
    </cfRule>
  </conditionalFormatting>
  <conditionalFormatting sqref="G54">
    <cfRule type="containsText" dxfId="1286" priority="176" stopIfTrue="1" operator="containsText" text="RED FLAG">
      <formula>NOT(ISERROR(SEARCH("RED FLAG",G54)))</formula>
    </cfRule>
  </conditionalFormatting>
  <conditionalFormatting sqref="C54">
    <cfRule type="cellIs" dxfId="1285" priority="173" stopIfTrue="1" operator="greaterThanOrEqual">
      <formula>0.8</formula>
    </cfRule>
    <cfRule type="cellIs" dxfId="1284" priority="174" stopIfTrue="1" operator="between">
      <formula>0.5</formula>
      <formula>0.799</formula>
    </cfRule>
    <cfRule type="cellIs" dxfId="1283" priority="175" stopIfTrue="1" operator="lessThan">
      <formula>0.5</formula>
    </cfRule>
  </conditionalFormatting>
  <conditionalFormatting sqref="G65">
    <cfRule type="containsText" dxfId="1282" priority="172" stopIfTrue="1" operator="containsText" text="RED FLAG">
      <formula>NOT(ISERROR(SEARCH("RED FLAG",G65)))</formula>
    </cfRule>
  </conditionalFormatting>
  <conditionalFormatting sqref="C65">
    <cfRule type="cellIs" dxfId="1281" priority="169" stopIfTrue="1" operator="greaterThanOrEqual">
      <formula>0.8</formula>
    </cfRule>
    <cfRule type="cellIs" dxfId="1280" priority="170" stopIfTrue="1" operator="between">
      <formula>0.5</formula>
      <formula>0.799</formula>
    </cfRule>
    <cfRule type="cellIs" dxfId="1279" priority="171" stopIfTrue="1" operator="lessThan">
      <formula>0.5</formula>
    </cfRule>
  </conditionalFormatting>
  <conditionalFormatting sqref="G57">
    <cfRule type="containsText" dxfId="1278" priority="161" stopIfTrue="1" operator="containsText" text="RED FLAG">
      <formula>NOT(ISERROR(SEARCH("RED FLAG",G57)))</formula>
    </cfRule>
  </conditionalFormatting>
  <conditionalFormatting sqref="G68">
    <cfRule type="containsText" dxfId="1277" priority="153" stopIfTrue="1" operator="containsText" text="RED FLAG">
      <formula>NOT(ISERROR(SEARCH("RED FLAG",G68)))</formula>
    </cfRule>
  </conditionalFormatting>
  <conditionalFormatting sqref="G19">
    <cfRule type="cellIs" dxfId="1276" priority="121" stopIfTrue="1" operator="lessThan">
      <formula>0.5</formula>
    </cfRule>
    <cfRule type="cellIs" dxfId="1275" priority="122" stopIfTrue="1" operator="between">
      <formula>0.5</formula>
      <formula>0.75</formula>
    </cfRule>
    <cfRule type="cellIs" dxfId="1274" priority="123" stopIfTrue="1" operator="greaterThan">
      <formula>0.75</formula>
    </cfRule>
  </conditionalFormatting>
  <conditionalFormatting sqref="G19">
    <cfRule type="containsText" dxfId="1273" priority="120" stopIfTrue="1" operator="containsText" text="RED FLAG">
      <formula>NOT(ISERROR(SEARCH("RED FLAG",G19)))</formula>
    </cfRule>
  </conditionalFormatting>
  <conditionalFormatting sqref="C19">
    <cfRule type="cellIs" dxfId="1272" priority="107" stopIfTrue="1" operator="greaterThanOrEqual">
      <formula>0.8</formula>
    </cfRule>
    <cfRule type="cellIs" dxfId="1271" priority="108" stopIfTrue="1" operator="between">
      <formula>0.5</formula>
      <formula>0.799</formula>
    </cfRule>
    <cfRule type="cellIs" dxfId="1270" priority="109" stopIfTrue="1" operator="lessThan">
      <formula>0.5</formula>
    </cfRule>
  </conditionalFormatting>
  <conditionalFormatting sqref="I29">
    <cfRule type="cellIs" dxfId="1269" priority="45" stopIfTrue="1" operator="lessThan">
      <formula>0.5</formula>
    </cfRule>
    <cfRule type="cellIs" dxfId="1268" priority="46" stopIfTrue="1" operator="between">
      <formula>0.5</formula>
      <formula>0.75</formula>
    </cfRule>
    <cfRule type="cellIs" dxfId="1267" priority="47" stopIfTrue="1" operator="greaterThan">
      <formula>0.75</formula>
    </cfRule>
  </conditionalFormatting>
  <conditionalFormatting sqref="I29">
    <cfRule type="containsText" dxfId="1266" priority="44" stopIfTrue="1" operator="containsText" text="RED FLAG">
      <formula>NOT(ISERROR(SEARCH("RED FLAG",I29)))</formula>
    </cfRule>
  </conditionalFormatting>
  <conditionalFormatting sqref="I30">
    <cfRule type="cellIs" dxfId="1265" priority="41" stopIfTrue="1" operator="lessThan">
      <formula>0.5</formula>
    </cfRule>
    <cfRule type="cellIs" dxfId="1264" priority="42" stopIfTrue="1" operator="between">
      <formula>0.5</formula>
      <formula>0.75</formula>
    </cfRule>
    <cfRule type="cellIs" dxfId="1263" priority="43" stopIfTrue="1" operator="greaterThan">
      <formula>0.75</formula>
    </cfRule>
  </conditionalFormatting>
  <conditionalFormatting sqref="I30">
    <cfRule type="containsText" dxfId="1262" priority="40" stopIfTrue="1" operator="containsText" text="RED FLAG">
      <formula>NOT(ISERROR(SEARCH("RED FLAG",I30)))</formula>
    </cfRule>
  </conditionalFormatting>
  <conditionalFormatting sqref="I36">
    <cfRule type="cellIs" dxfId="1261" priority="49" stopIfTrue="1" operator="lessThan">
      <formula>0.5</formula>
    </cfRule>
    <cfRule type="cellIs" dxfId="1260" priority="50" stopIfTrue="1" operator="between">
      <formula>0.5</formula>
      <formula>0.75</formula>
    </cfRule>
    <cfRule type="cellIs" dxfId="1259" priority="51" stopIfTrue="1" operator="greaterThan">
      <formula>0.75</formula>
    </cfRule>
  </conditionalFormatting>
  <conditionalFormatting sqref="I36">
    <cfRule type="containsText" dxfId="1258" priority="48" stopIfTrue="1" operator="containsText" text="RED FLAG">
      <formula>NOT(ISERROR(SEARCH("RED FLAG",I36)))</formula>
    </cfRule>
  </conditionalFormatting>
  <conditionalFormatting sqref="I5">
    <cfRule type="cellIs" dxfId="1257" priority="37" stopIfTrue="1" operator="lessThan">
      <formula>0.5</formula>
    </cfRule>
    <cfRule type="cellIs" dxfId="1256" priority="38" stopIfTrue="1" operator="between">
      <formula>0.5</formula>
      <formula>0.75</formula>
    </cfRule>
    <cfRule type="cellIs" dxfId="1255" priority="39" stopIfTrue="1" operator="greaterThan">
      <formula>0.75</formula>
    </cfRule>
  </conditionalFormatting>
  <conditionalFormatting sqref="I5">
    <cfRule type="containsText" dxfId="1254" priority="36" stopIfTrue="1" operator="containsText" text="RED FLAG">
      <formula>NOT(ISERROR(SEARCH("RED FLAG",I5)))</formula>
    </cfRule>
  </conditionalFormatting>
  <conditionalFormatting sqref="G4:G5">
    <cfRule type="cellIs" dxfId="1253" priority="26" stopIfTrue="1" operator="lessThan">
      <formula>0.5</formula>
    </cfRule>
    <cfRule type="cellIs" dxfId="1252" priority="27" stopIfTrue="1" operator="between">
      <formula>0.5</formula>
      <formula>0.75</formula>
    </cfRule>
    <cfRule type="cellIs" dxfId="1251" priority="28" stopIfTrue="1" operator="greaterThan">
      <formula>0.75</formula>
    </cfRule>
  </conditionalFormatting>
  <conditionalFormatting sqref="G4:G5">
    <cfRule type="containsText" dxfId="1250" priority="25" stopIfTrue="1" operator="containsText" text="RED FLAG">
      <formula>NOT(ISERROR(SEARCH("RED FLAG",G4)))</formula>
    </cfRule>
  </conditionalFormatting>
  <conditionalFormatting sqref="G6:G7 G9:G16">
    <cfRule type="cellIs" dxfId="1249" priority="22" stopIfTrue="1" operator="lessThan">
      <formula>0.5</formula>
    </cfRule>
    <cfRule type="cellIs" dxfId="1248" priority="23" stopIfTrue="1" operator="between">
      <formula>0.5</formula>
      <formula>0.75</formula>
    </cfRule>
    <cfRule type="cellIs" dxfId="1247" priority="24" stopIfTrue="1" operator="greaterThan">
      <formula>0.75</formula>
    </cfRule>
  </conditionalFormatting>
  <conditionalFormatting sqref="G6:G7 G9:G16">
    <cfRule type="containsText" dxfId="1246" priority="21" stopIfTrue="1" operator="containsText" text="RED FLAG">
      <formula>NOT(ISERROR(SEARCH("RED FLAG",G6)))</formula>
    </cfRule>
  </conditionalFormatting>
  <conditionalFormatting sqref="G40 G21:G36 G42:G52">
    <cfRule type="cellIs" dxfId="1245" priority="18" stopIfTrue="1" operator="lessThan">
      <formula>0.5</formula>
    </cfRule>
    <cfRule type="cellIs" dxfId="1244" priority="19" stopIfTrue="1" operator="between">
      <formula>0.5</formula>
      <formula>0.75</formula>
    </cfRule>
    <cfRule type="cellIs" dxfId="1243" priority="20" stopIfTrue="1" operator="greaterThan">
      <formula>0.75</formula>
    </cfRule>
  </conditionalFormatting>
  <conditionalFormatting sqref="G40 G21:G36 G42:G52">
    <cfRule type="containsText" dxfId="1242" priority="17" stopIfTrue="1" operator="containsText" text="RED FLAG">
      <formula>NOT(ISERROR(SEARCH("RED FLAG",G21)))</formula>
    </cfRule>
  </conditionalFormatting>
  <conditionalFormatting sqref="G69:G75 G66:G67 G60:G64 G55:G56">
    <cfRule type="cellIs" dxfId="1241" priority="14" stopIfTrue="1" operator="lessThan">
      <formula>0.5</formula>
    </cfRule>
    <cfRule type="cellIs" dxfId="1240" priority="15" stopIfTrue="1" operator="between">
      <formula>0.5</formula>
      <formula>0.75</formula>
    </cfRule>
    <cfRule type="cellIs" dxfId="1239" priority="16" stopIfTrue="1" operator="greaterThan">
      <formula>0.75</formula>
    </cfRule>
  </conditionalFormatting>
  <conditionalFormatting sqref="G69:G75 G66:G67 G60:G64 G55:G56">
    <cfRule type="containsText" dxfId="1238" priority="13" stopIfTrue="1" operator="containsText" text="RED FLAG">
      <formula>NOT(ISERROR(SEARCH("RED FLAG",G55)))</formula>
    </cfRule>
  </conditionalFormatting>
  <conditionalFormatting sqref="G39">
    <cfRule type="cellIs" dxfId="1237" priority="10" stopIfTrue="1" operator="lessThan">
      <formula>0.5</formula>
    </cfRule>
    <cfRule type="cellIs" dxfId="1236" priority="11" stopIfTrue="1" operator="between">
      <formula>0.5</formula>
      <formula>0.75</formula>
    </cfRule>
    <cfRule type="cellIs" dxfId="1235" priority="12" stopIfTrue="1" operator="greaterThan">
      <formula>0.75</formula>
    </cfRule>
  </conditionalFormatting>
  <conditionalFormatting sqref="G39">
    <cfRule type="containsText" dxfId="1234" priority="9" stopIfTrue="1" operator="containsText" text="RED FLAG">
      <formula>NOT(ISERROR(SEARCH("RED FLAG",G39)))</formula>
    </cfRule>
  </conditionalFormatting>
  <conditionalFormatting sqref="G58">
    <cfRule type="cellIs" dxfId="1233" priority="2" stopIfTrue="1" operator="lessThan">
      <formula>0.5</formula>
    </cfRule>
    <cfRule type="cellIs" dxfId="1232" priority="3" stopIfTrue="1" operator="between">
      <formula>0.5</formula>
      <formula>0.75</formula>
    </cfRule>
    <cfRule type="cellIs" dxfId="1231" priority="4" stopIfTrue="1" operator="greaterThan">
      <formula>0.75</formula>
    </cfRule>
  </conditionalFormatting>
  <conditionalFormatting sqref="G58">
    <cfRule type="containsText" dxfId="1230" priority="1" stopIfTrue="1" operator="containsText" text="RED FLAG">
      <formula>NOT(ISERROR(SEARCH("RED FLAG",G58)))</formula>
    </cfRule>
  </conditionalFormatting>
  <dataValidations count="2">
    <dataValidation type="list" allowBlank="1" showInputMessage="1" showErrorMessage="1" sqref="C7 C45:C47 C9:C16 C21:C28" xr:uid="{00000000-0002-0000-0C00-000000000000}">
      <formula1>"Yes,No,NA"</formula1>
    </dataValidation>
    <dataValidation type="list" allowBlank="1" showInputMessage="1" showErrorMessage="1" sqref="C66:C67 C55:C56 C69:C75 C42:C44 C39:C40 C48:C52 C58:C64 C4:C6 C29:C36" xr:uid="{00000000-0002-0000-0C00-000001000000}">
      <formula1>"Yes,No"</formula1>
    </dataValidation>
  </dataValidations>
  <pageMargins left="0.25" right="0.25" top="0.75000000000000011" bottom="0.75000000000000011" header="0.30000000000000004" footer="0.30000000000000004"/>
  <pageSetup paperSize="9" scale="94" fitToHeight="3" orientation="landscape" r:id="rId1"/>
  <headerFooter>
    <oddFooter>&amp;C&amp;A -&amp;P</oddFooter>
  </headerFooter>
  <rowBreaks count="2" manualBreakCount="2">
    <brk id="28" max="4" man="1"/>
    <brk id="53"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70C0"/>
    <pageSetUpPr fitToPage="1"/>
  </sheetPr>
  <dimension ref="A1:K218"/>
  <sheetViews>
    <sheetView zoomScaleNormal="100" zoomScalePageLayoutView="80" workbookViewId="0">
      <selection activeCell="C4" sqref="C4"/>
    </sheetView>
  </sheetViews>
  <sheetFormatPr defaultColWidth="11" defaultRowHeight="15.6"/>
  <cols>
    <col min="1" max="1" width="4.69921875" style="6" customWidth="1"/>
    <col min="2" max="2" width="82.19921875" style="28" customWidth="1"/>
    <col min="3" max="3" width="5.19921875" style="22" customWidth="1"/>
    <col min="4" max="4" width="3.69921875" style="22" customWidth="1"/>
    <col min="5" max="5" width="3.69921875" style="22" hidden="1" customWidth="1"/>
    <col min="6" max="6" width="5.19921875" style="22" hidden="1" customWidth="1"/>
    <col min="7" max="7" width="5.19921875" style="22" customWidth="1"/>
    <col min="8" max="8" width="37.69921875" style="72" customWidth="1"/>
    <col min="9" max="9" width="9.69921875" style="22" customWidth="1"/>
    <col min="10" max="16384" width="11" style="22"/>
  </cols>
  <sheetData>
    <row r="1" spans="1:11">
      <c r="A1" s="10"/>
      <c r="B1" s="58" t="str">
        <f>Language!A1183</f>
        <v>9- PROCESSING</v>
      </c>
      <c r="C1" s="52" t="str">
        <f>IF(COUNT(G3:G349)=0,"???",AVERAGE(G3:G349))</f>
        <v>???</v>
      </c>
      <c r="F1" s="28"/>
      <c r="H1" s="199" t="str">
        <f>'Facility 1'!H1</f>
        <v>Comments</v>
      </c>
    </row>
    <row r="2" spans="1:11" s="519" customFormat="1" ht="16.2" thickBot="1">
      <c r="A2" s="10"/>
      <c r="B2" s="210" t="str">
        <f>Language!A1184</f>
        <v>Please note: all questions refer only to clinical patient specimens, NOT to research or environmental specimens</v>
      </c>
      <c r="H2" s="262"/>
    </row>
    <row r="3" spans="1:11" ht="16.2" thickBot="1">
      <c r="A3" s="166"/>
      <c r="B3" s="76" t="str">
        <f>Language!A1185</f>
        <v>BLOOD CULTURE PROCESSING</v>
      </c>
      <c r="C3" s="73" t="str">
        <f>IF(C4="No","NA",IF(COUNTBLANK(C5:C12)=8,"???",IF(COUNT(G5:G12)=0,"NA",AVERAGE(G5:G12))))</f>
        <v>???</v>
      </c>
      <c r="D3" s="29"/>
      <c r="E3" s="29"/>
      <c r="F3" s="29"/>
      <c r="G3" s="18"/>
      <c r="H3" s="446"/>
    </row>
    <row r="4" spans="1:11">
      <c r="A4" s="10"/>
      <c r="B4" s="72" t="str">
        <f>Language!A1186</f>
        <v>Does the laboratory perform blood cultures?</v>
      </c>
      <c r="C4" s="27"/>
      <c r="F4" s="15">
        <f t="shared" ref="F4:F10" si="0">C4</f>
        <v>0</v>
      </c>
      <c r="H4" s="450"/>
    </row>
    <row r="5" spans="1:11" ht="27.6" customHeight="1">
      <c r="A5" s="10" t="s">
        <v>619</v>
      </c>
      <c r="B5" s="8" t="str">
        <f>Language!A1187</f>
        <v>Does the laboratory have an SOP describing how to process blood for bacterial culture?</v>
      </c>
      <c r="C5" s="27"/>
      <c r="F5" s="29">
        <f t="shared" si="0"/>
        <v>0</v>
      </c>
      <c r="G5" s="18" t="str">
        <f>IF(F5="Yes",1,IF(F5="No",0,"'"))</f>
        <v>'</v>
      </c>
      <c r="H5" s="450"/>
    </row>
    <row r="6" spans="1:11" ht="27.6" customHeight="1">
      <c r="A6" s="10" t="s">
        <v>620</v>
      </c>
      <c r="B6" s="8" t="str">
        <f>Language!A1188</f>
        <v>When a blood culture bottle shows signs of positivity, (turbidity, hemolysis, or gas production), does the lab perform a Gram stain of the bottle broth?</v>
      </c>
      <c r="C6" s="27"/>
      <c r="F6" s="29">
        <f t="shared" si="0"/>
        <v>0</v>
      </c>
      <c r="G6" s="18" t="str">
        <f t="shared" ref="G6:G10" si="1">IF(F6="Yes",1,IF(F6="No",0,"'"))</f>
        <v>'</v>
      </c>
      <c r="H6" s="450"/>
    </row>
    <row r="7" spans="1:11" ht="27.6" customHeight="1">
      <c r="A7" s="10" t="s">
        <v>621</v>
      </c>
      <c r="B7" s="8" t="str">
        <f>Language!A1189</f>
        <v>If the Gram stain from the bottle is positive, does the lab call the result to the physician immediately?</v>
      </c>
      <c r="C7" s="27"/>
      <c r="F7" s="29">
        <f t="shared" si="0"/>
        <v>0</v>
      </c>
      <c r="G7" s="18" t="str">
        <f t="shared" si="1"/>
        <v>'</v>
      </c>
      <c r="H7" s="450"/>
      <c r="I7" s="18" t="str">
        <f>IF(C7="No","Red Flag","'")</f>
        <v>'</v>
      </c>
    </row>
    <row r="8" spans="1:11" ht="27.6" customHeight="1">
      <c r="A8" s="10" t="s">
        <v>622</v>
      </c>
      <c r="B8" s="8" t="str">
        <f>Language!A1190</f>
        <v xml:space="preserve">When a positive blood culture broth is subcultured, is a chocolate plate included to ensure recovery of fastidious organisms? </v>
      </c>
      <c r="C8" s="27"/>
      <c r="F8" s="29">
        <f t="shared" si="0"/>
        <v>0</v>
      </c>
      <c r="G8" s="18" t="str">
        <f t="shared" si="1"/>
        <v>'</v>
      </c>
      <c r="H8" s="450"/>
      <c r="I8" s="18" t="str">
        <f>IF(C8="No","Red Flag","'")</f>
        <v>'</v>
      </c>
    </row>
    <row r="9" spans="1:11">
      <c r="A9" s="10" t="s">
        <v>623</v>
      </c>
      <c r="B9" s="8" t="str">
        <f>Language!A1191</f>
        <v>Does the lab inoculate more than one patient sample on the same petri dish?</v>
      </c>
      <c r="C9" s="27"/>
      <c r="F9" s="29">
        <f t="shared" si="0"/>
        <v>0</v>
      </c>
      <c r="G9" s="18" t="str">
        <f>IF(F9="No",1,IF(F9="Yes",0,"'"))</f>
        <v>'</v>
      </c>
      <c r="H9" s="454"/>
      <c r="I9" s="18" t="str">
        <f>IF(C9="Yes","Red Flag","'")</f>
        <v>'</v>
      </c>
    </row>
    <row r="10" spans="1:11" ht="27.6" customHeight="1">
      <c r="A10" s="10" t="s">
        <v>624</v>
      </c>
      <c r="B10" s="8" t="str">
        <f>Language!A1192</f>
        <v xml:space="preserve">Does the SOP for blood cultures appropriately define which organisms are commonly considered contaminants? </v>
      </c>
      <c r="C10" s="27"/>
      <c r="F10" s="29">
        <f t="shared" si="0"/>
        <v>0</v>
      </c>
      <c r="G10" s="18" t="str">
        <f t="shared" si="1"/>
        <v>'</v>
      </c>
      <c r="H10" s="450"/>
    </row>
    <row r="11" spans="1:11">
      <c r="A11" s="10"/>
      <c r="B11" s="647" t="str">
        <f>Language!A1193</f>
        <v>E.g.,  Corynebacterium spp., Propionibacterium spp., Micrococcus spp., viridans Strep spp., Bacillus spp., and coagulase-negative Staph spp. isolated from only one culture</v>
      </c>
      <c r="C11" s="649"/>
      <c r="D11" s="649"/>
      <c r="E11" s="649"/>
      <c r="F11" s="649"/>
      <c r="G11" s="649"/>
      <c r="H11" s="649"/>
    </row>
    <row r="12" spans="1:11">
      <c r="A12" s="10" t="s">
        <v>625</v>
      </c>
      <c r="B12" s="8" t="str">
        <f>Language!A1194</f>
        <v>Does the lab perform AST on organisms that are possible contaminants?</v>
      </c>
      <c r="C12" s="27"/>
      <c r="F12" s="29">
        <f>C12</f>
        <v>0</v>
      </c>
      <c r="G12" s="18" t="str">
        <f>IF(F12="No",1,IF(F12="Yes",0,"'"))</f>
        <v>'</v>
      </c>
      <c r="H12" s="134"/>
      <c r="I12" s="249" t="str">
        <f>IF(F12="Yes","Red Flag","'")</f>
        <v>'</v>
      </c>
    </row>
    <row r="13" spans="1:11">
      <c r="A13" s="10" t="s">
        <v>626</v>
      </c>
      <c r="B13" s="8" t="str">
        <f>Language!A1195</f>
        <v>Which blood culture incubation systems does the lab use?</v>
      </c>
      <c r="C13" s="109"/>
      <c r="F13" s="91" t="str">
        <f>IF(C13=1,"Automated",IF(C13=2,"Manual",IF(C13=3,"Both",IF(C13="NA","NA","0"))))</f>
        <v>0</v>
      </c>
      <c r="H13" s="134"/>
      <c r="I13" s="201"/>
      <c r="J13" s="516"/>
    </row>
    <row r="14" spans="1:11">
      <c r="A14" s="10"/>
      <c r="B14" s="51" t="str">
        <f>Language!A1196</f>
        <v>1: Automated only; 2: Manual System only; 3: Both automated and manual systems</v>
      </c>
    </row>
    <row r="15" spans="1:11" ht="16.2" thickBot="1">
      <c r="A15" s="16"/>
      <c r="B15" s="471"/>
      <c r="C15" s="235"/>
      <c r="D15" s="514"/>
      <c r="E15" s="201"/>
      <c r="F15" s="201"/>
      <c r="G15" s="201"/>
      <c r="H15" s="471"/>
      <c r="J15" s="201"/>
      <c r="K15" s="201"/>
    </row>
    <row r="16" spans="1:11" ht="16.2" thickBot="1">
      <c r="A16" s="166"/>
      <c r="B16" s="76" t="str">
        <f>Language!A1197</f>
        <v>MANUAL BLOOD CULTURE SYSTEMS</v>
      </c>
      <c r="C16" s="73" t="str">
        <f>IF(COUNTBLANK(C18:C23)=6,"???",IF(COUNT(G18:G23)=0,"NA",AVERAGE(G18:G23)))</f>
        <v>???</v>
      </c>
      <c r="D16" s="29"/>
      <c r="E16" s="29"/>
      <c r="F16" s="29"/>
      <c r="G16" s="18"/>
      <c r="H16" s="446"/>
    </row>
    <row r="17" spans="1:10" ht="27.6" customHeight="1">
      <c r="A17" s="10"/>
      <c r="B17" s="8" t="str">
        <f>Language!A1198</f>
        <v>Review the SOP for manual incubation of blood culture bottles. Does it include each of the following instructions? (If only automated systems are used, answer NA)</v>
      </c>
      <c r="C17" s="71"/>
      <c r="H17" s="450"/>
    </row>
    <row r="18" spans="1:10" ht="27.6" customHeight="1">
      <c r="A18" s="10" t="s">
        <v>627</v>
      </c>
      <c r="B18" s="37" t="str">
        <f>Language!A1199</f>
        <v>On each day of incubation, visually examine all bottles for signs of positivity (turbidity, hemolysis, gas production)</v>
      </c>
      <c r="C18" s="46"/>
      <c r="F18" s="29">
        <f t="shared" ref="F18:F23" si="2">C18</f>
        <v>0</v>
      </c>
      <c r="G18" s="18" t="str">
        <f>IF(F18="Yes",1,IF(F18="No",0,"'"))</f>
        <v>'</v>
      </c>
      <c r="H18" s="454"/>
    </row>
    <row r="19" spans="1:10">
      <c r="A19" s="10" t="s">
        <v>628</v>
      </c>
      <c r="B19" s="37" t="str">
        <f>Language!A1200</f>
        <v xml:space="preserve">After 24 hours of incubation, subculture all bottles that appear negative  </v>
      </c>
      <c r="C19" s="46"/>
      <c r="F19" s="29">
        <f t="shared" si="2"/>
        <v>0</v>
      </c>
      <c r="G19" s="18" t="str">
        <f t="shared" ref="G19:G23" si="3">IF(F19="Yes",1,IF(F19="No",0,"'"))</f>
        <v>'</v>
      </c>
      <c r="H19" s="450"/>
    </row>
    <row r="20" spans="1:10" ht="27.6" customHeight="1">
      <c r="A20" s="10" t="s">
        <v>629</v>
      </c>
      <c r="B20" s="37" t="str">
        <f>Language!A1201</f>
        <v>After 48 hours of incubation, subculture all bottles that appear negative again (if the first subculture was negative)</v>
      </c>
      <c r="C20" s="46"/>
      <c r="F20" s="29">
        <f t="shared" si="2"/>
        <v>0</v>
      </c>
      <c r="G20" s="18" t="str">
        <f t="shared" si="3"/>
        <v>'</v>
      </c>
      <c r="H20" s="450"/>
    </row>
    <row r="21" spans="1:10" ht="27.6" customHeight="1">
      <c r="A21" s="10" t="s">
        <v>630</v>
      </c>
      <c r="B21" s="37" t="str">
        <f>Language!A1202</f>
        <v>Subculture bottles that appear negative to a chocolate agar plate (incubated in 5% CO2) to ensure recovery of fastidious organisms</v>
      </c>
      <c r="C21" s="46"/>
      <c r="F21" s="29">
        <f t="shared" si="2"/>
        <v>0</v>
      </c>
      <c r="G21" s="18" t="str">
        <f t="shared" si="3"/>
        <v>'</v>
      </c>
      <c r="H21" s="450"/>
    </row>
    <row r="22" spans="1:10">
      <c r="A22" s="10" t="s">
        <v>631</v>
      </c>
      <c r="B22" s="37" t="str">
        <f>Language!A1203</f>
        <v>Incubate all bottles between 5 and 7 days before issuing a final negative report</v>
      </c>
      <c r="C22" s="46"/>
      <c r="F22" s="29">
        <f t="shared" si="2"/>
        <v>0</v>
      </c>
      <c r="G22" s="18" t="str">
        <f t="shared" si="3"/>
        <v>'</v>
      </c>
      <c r="H22" s="450"/>
    </row>
    <row r="23" spans="1:10" ht="27.6" customHeight="1" thickBot="1">
      <c r="A23" s="10" t="s">
        <v>632</v>
      </c>
      <c r="B23" s="37" t="str">
        <f>Language!A1204</f>
        <v>On the final day of incubation, perform a terminal subculture before the final negative report is issued</v>
      </c>
      <c r="C23" s="27"/>
      <c r="F23" s="29">
        <f t="shared" si="2"/>
        <v>0</v>
      </c>
      <c r="G23" s="18" t="str">
        <f t="shared" si="3"/>
        <v>'</v>
      </c>
      <c r="H23" s="450"/>
    </row>
    <row r="24" spans="1:10" ht="16.2" thickBot="1">
      <c r="A24" s="166"/>
      <c r="B24" s="113" t="str">
        <f>Language!A1205</f>
        <v>URINE CULTURE</v>
      </c>
      <c r="C24" s="86" t="str">
        <f>IF(C25="No","NA",IF(COUNTBLANK(C26:C39)=14,"???",IF(COUNT(G26:G39)=0,"NA",AVERAGE(G26:G39))))</f>
        <v>???</v>
      </c>
      <c r="H24" s="446"/>
    </row>
    <row r="25" spans="1:10">
      <c r="A25" s="10"/>
      <c r="B25" s="129" t="str">
        <f>Language!A1206</f>
        <v>Does the laboratory perform urine cultures?</v>
      </c>
      <c r="C25" s="27"/>
      <c r="F25" s="68">
        <f>C25</f>
        <v>0</v>
      </c>
    </row>
    <row r="26" spans="1:10">
      <c r="A26" s="10">
        <v>9.15</v>
      </c>
      <c r="B26" s="8" t="str">
        <f>Language!A1207</f>
        <v>Does the laboratory have an SOP for how to process urine for bacterial culture? (request to see)</v>
      </c>
      <c r="C26" s="27"/>
      <c r="F26" s="29">
        <f>C26</f>
        <v>0</v>
      </c>
      <c r="G26" s="18" t="str">
        <f>IF(F26="Yes",1,IF(F26="No",0,"'"))</f>
        <v>'</v>
      </c>
      <c r="H26" s="134"/>
    </row>
    <row r="27" spans="1:10">
      <c r="A27" s="10">
        <v>9.16</v>
      </c>
      <c r="B27" s="20" t="str">
        <f>Language!A1208</f>
        <v>According to the SOP, which media are used for primary culture of urine?</v>
      </c>
      <c r="C27" s="27"/>
      <c r="F27" s="29">
        <f>C27</f>
        <v>0</v>
      </c>
      <c r="G27" s="18" t="str">
        <f>IF(F27=1,1,IF(F27=2,1,IF(F27=3,0.5,IF(F27=4,0,"'"))))</f>
        <v>'</v>
      </c>
      <c r="H27" s="134"/>
    </row>
    <row r="28" spans="1:10">
      <c r="A28" s="10"/>
      <c r="B28" s="465" t="str">
        <f>Language!A1209</f>
        <v>1. Both blood agar and a selective gram-negative agar (e.g., MacConkey, EMB, CLED)</v>
      </c>
      <c r="F28" s="29"/>
      <c r="G28" s="18"/>
      <c r="H28" s="175"/>
      <c r="I28" s="525"/>
      <c r="J28" s="537"/>
    </row>
    <row r="29" spans="1:10">
      <c r="A29" s="10"/>
      <c r="B29" s="465" t="str">
        <f>Language!A1210</f>
        <v>2. Chromogenic agar designed for urine specimens</v>
      </c>
      <c r="F29" s="29"/>
      <c r="G29" s="18"/>
      <c r="H29" s="175"/>
      <c r="I29" s="533"/>
    </row>
    <row r="30" spans="1:10">
      <c r="A30" s="10"/>
      <c r="B30" s="465" t="str">
        <f>Language!A1211</f>
        <v>3. Blood agar only</v>
      </c>
      <c r="F30" s="29"/>
      <c r="G30" s="18"/>
      <c r="H30" s="175"/>
      <c r="I30" s="533"/>
    </row>
    <row r="31" spans="1:10">
      <c r="A31" s="10"/>
      <c r="B31" s="465" t="str">
        <f>Language!A1212</f>
        <v>4. Other, describe</v>
      </c>
      <c r="F31" s="29"/>
      <c r="G31" s="18"/>
      <c r="H31" s="175"/>
      <c r="I31" s="513"/>
    </row>
    <row r="32" spans="1:10">
      <c r="A32" s="10"/>
      <c r="B32" s="650" t="str">
        <f>Language!A1213</f>
        <v>Standard: CAP MIC.22210; SANAS TR 34-04:3.2.1.2 Media and procedures must be used to ensure isolation and identification of common uropathogens such as Enterobacteriaceae, Enterococcus sp., and Staphylococcus sp.</v>
      </c>
      <c r="C32" s="651"/>
      <c r="D32" s="651"/>
      <c r="E32" s="651"/>
      <c r="F32" s="651"/>
      <c r="G32" s="651"/>
      <c r="H32" s="651"/>
      <c r="I32" s="513"/>
    </row>
    <row r="33" spans="1:9">
      <c r="A33" s="10">
        <v>9.17</v>
      </c>
      <c r="B33" s="8" t="str">
        <f>Language!A1214</f>
        <v xml:space="preserve">Are quantitative cultures (colony counts) performed? </v>
      </c>
      <c r="C33" s="27"/>
      <c r="F33" s="29">
        <f>C33</f>
        <v>0</v>
      </c>
      <c r="G33" s="18" t="str">
        <f>IF(F33="Yes",1,IF(F33="No",0,"'"))</f>
        <v>'</v>
      </c>
      <c r="H33" s="450"/>
    </row>
    <row r="34" spans="1:9">
      <c r="A34" s="10"/>
      <c r="B34" s="650" t="str">
        <f>Language!A1215</f>
        <v>Standard: CAP MIC.22200; SANAS TR 34-04: 3.2.1.2 The minimal standards for evaluation of urine cultures should include an estimate of number of organisms, i.e., quantitative culture expressed as CFU/mL.</v>
      </c>
      <c r="C34" s="651"/>
      <c r="D34" s="651"/>
      <c r="E34" s="651"/>
      <c r="F34" s="651"/>
      <c r="G34" s="651"/>
      <c r="H34" s="651"/>
    </row>
    <row r="35" spans="1:9">
      <c r="A35" s="10">
        <v>9.18</v>
      </c>
      <c r="B35" s="20" t="str">
        <f>Language!A1216</f>
        <v>Are urines plated using a calibrated loop?</v>
      </c>
      <c r="C35" s="27"/>
      <c r="F35" s="29">
        <f>C35</f>
        <v>0</v>
      </c>
      <c r="G35" s="18" t="str">
        <f>IF(F35=1,1,IF(F35=2,0.5,IF(F35=3,0,"'")))</f>
        <v>'</v>
      </c>
      <c r="H35" s="450"/>
    </row>
    <row r="36" spans="1:9">
      <c r="A36" s="10"/>
      <c r="B36" s="465" t="str">
        <f>Language!A1217</f>
        <v>1: Yes, 1µL  – 2: Yes, 10uL - 3: No, calibrated loops are not used to plate urines</v>
      </c>
    </row>
    <row r="37" spans="1:9">
      <c r="A37" s="77" t="s">
        <v>1185</v>
      </c>
      <c r="B37" s="8" t="str">
        <f>Language!A1218</f>
        <v>Does the lab inoculate more than one patient sample on the same petri dish?</v>
      </c>
      <c r="C37" s="27"/>
      <c r="F37" s="29">
        <f>C37</f>
        <v>0</v>
      </c>
      <c r="G37" s="18" t="str">
        <f>IF(F37="No",1,IF(F37="Yes",1,"'"))</f>
        <v>'</v>
      </c>
      <c r="H37" s="454"/>
      <c r="I37" s="18" t="str">
        <f>IF(C37="Yes","Red Flag","'")</f>
        <v>'</v>
      </c>
    </row>
    <row r="38" spans="1:9" ht="41.4" customHeight="1">
      <c r="A38" s="77" t="s">
        <v>1186</v>
      </c>
      <c r="B38" s="8" t="str">
        <f>Language!A1219</f>
        <v xml:space="preserve">Does the urine culture SOP provide guidance to the technologist in determining which organisms to “work up” (ID and AST) based on relative quantities, pathogenicity, and method of specimen collection? </v>
      </c>
      <c r="C38" s="27"/>
      <c r="F38" s="29">
        <f>C38</f>
        <v>0</v>
      </c>
      <c r="G38" s="18" t="str">
        <f>IF(F38="Yes",1,IF(F38="No",0,"'"))</f>
        <v>'</v>
      </c>
      <c r="H38" s="450"/>
    </row>
    <row r="39" spans="1:9" ht="41.4" customHeight="1">
      <c r="A39" s="77" t="s">
        <v>1187</v>
      </c>
      <c r="B39" s="20" t="str">
        <f>Language!A1220</f>
        <v xml:space="preserve">Have technologists been adequately trained to recognize a poorly collected urine specimen (predominance of fecal or skin flora) based on the relative quantities, types, and mix of organisms present? </v>
      </c>
      <c r="C39" s="46"/>
      <c r="F39" s="91" t="str">
        <f>IF(C39=1,"Yes",IF(C39=2,"Some",IF(C39=3,"No","'")))</f>
        <v>'</v>
      </c>
      <c r="G39" s="18" t="str">
        <f>IF(F39="Yes",1,IF(F39="Some",0.75,IF(F39="No",0,"'")))</f>
        <v>'</v>
      </c>
      <c r="H39" s="450"/>
      <c r="I39" s="92" t="str">
        <f>IF(F39="No","Training Opportunity",IF(F39="Some","Training Opportunity","'"))</f>
        <v>'</v>
      </c>
    </row>
    <row r="40" spans="1:9" ht="16.2" thickBot="1">
      <c r="A40" s="10"/>
      <c r="B40" s="465" t="str">
        <f>Language!A1221</f>
        <v>1: Yes - 2: Some, but would like additional training - 3: No</v>
      </c>
    </row>
    <row r="41" spans="1:9" ht="16.2" thickBot="1">
      <c r="A41" s="166"/>
      <c r="B41" s="14" t="str">
        <f>Language!A1222</f>
        <v>STOOL CULTURES for Salmonella and Shigella</v>
      </c>
      <c r="C41" s="44" t="str">
        <f>IF(C42="No","NA",IF(COUNTBLANK(C43:C55)=13,"???",IF(COUNT(G43:G55)=0,"NA",AVERAGE(G43:G55))))</f>
        <v>???</v>
      </c>
      <c r="H41" s="446"/>
    </row>
    <row r="42" spans="1:9">
      <c r="A42" s="10"/>
      <c r="B42" s="129" t="str">
        <f>Language!A1223</f>
        <v>Does the laboratory perform stool cultures?</v>
      </c>
      <c r="C42" s="27"/>
      <c r="F42" s="15">
        <f>C42</f>
        <v>0</v>
      </c>
    </row>
    <row r="43" spans="1:9" ht="27.6" customHeight="1">
      <c r="A43" s="10">
        <v>9.2200000000000006</v>
      </c>
      <c r="B43" s="8" t="str">
        <f>Language!A1224</f>
        <v>Does the laboratory have an SOP for how to process (plate) stool for bacterial culture? (request to see)</v>
      </c>
      <c r="C43" s="27"/>
      <c r="F43" s="29">
        <f>C43</f>
        <v>0</v>
      </c>
      <c r="G43" s="18" t="str">
        <f>IF(F43="Yes",1,IF(F43="No",0,"'"))</f>
        <v>'</v>
      </c>
      <c r="H43" s="450"/>
    </row>
    <row r="44" spans="1:9">
      <c r="A44" s="10">
        <v>9.23</v>
      </c>
      <c r="B44" s="8" t="str">
        <f>Language!A1225</f>
        <v>Does the SOP describe how to identify potential pathogens on all primary media?</v>
      </c>
      <c r="C44" s="27"/>
      <c r="F44" s="29">
        <f>C44</f>
        <v>0</v>
      </c>
      <c r="G44" s="18" t="str">
        <f>IF(F44="Yes",1,IF(F44="No",0,"'"))</f>
        <v>'</v>
      </c>
      <c r="H44" s="450"/>
    </row>
    <row r="45" spans="1:9" ht="24" customHeight="1">
      <c r="A45" s="10"/>
      <c r="B45" s="132" t="str">
        <f>Language!A1226</f>
        <v>The SOP should describe the colony appearance of potential pathogens on MAC other selective &amp; differential media used, and should define how to proceed when a potential pathogen is encountered</v>
      </c>
      <c r="F45" s="29"/>
      <c r="G45" s="18"/>
      <c r="H45" s="175"/>
    </row>
    <row r="46" spans="1:9">
      <c r="A46" s="10"/>
      <c r="B46" s="8" t="str">
        <f>Language!A1227</f>
        <v>Which media are used for primary culture of stool?</v>
      </c>
    </row>
    <row r="47" spans="1:9">
      <c r="A47" s="10">
        <v>9.24</v>
      </c>
      <c r="B47" s="37" t="str">
        <f>Language!A1228</f>
        <v>Blood agar</v>
      </c>
      <c r="C47" s="456"/>
      <c r="F47" s="29">
        <f t="shared" ref="F47:F52" si="4">C47</f>
        <v>0</v>
      </c>
      <c r="G47" s="18" t="str">
        <f>IF(F47="Yes",1,IF(F47="No",0,"'"))</f>
        <v>'</v>
      </c>
      <c r="H47" s="459"/>
    </row>
    <row r="48" spans="1:9">
      <c r="A48" s="10">
        <v>9.25</v>
      </c>
      <c r="B48" s="37" t="str">
        <f>Language!A1229</f>
        <v>MacConkey or Eosin Methylene Blue agar</v>
      </c>
      <c r="C48" s="456"/>
      <c r="F48" s="29">
        <f t="shared" si="4"/>
        <v>0</v>
      </c>
      <c r="G48" s="18" t="str">
        <f t="shared" ref="G48:G50" si="5">IF(F48="Yes",1,IF(F48="No",0,"'"))</f>
        <v>'</v>
      </c>
      <c r="H48" s="459"/>
    </row>
    <row r="49" spans="1:9" ht="27.6" customHeight="1">
      <c r="A49" s="10">
        <v>9.26</v>
      </c>
      <c r="B49" s="37" t="str">
        <f>Language!A1230</f>
        <v>Selective and differential screening agar for Salmonella and Shigella (e.g., Salmonella/Shigella agar, Hektoen Enteric agar, Xylose Lysine Deoxycholate agar, or Deoxycholate Citrate Agar)</v>
      </c>
      <c r="C49" s="456"/>
      <c r="F49" s="29">
        <f t="shared" si="4"/>
        <v>0</v>
      </c>
      <c r="G49" s="18" t="str">
        <f t="shared" si="5"/>
        <v>'</v>
      </c>
      <c r="H49" s="459"/>
    </row>
    <row r="50" spans="1:9">
      <c r="A50" s="10">
        <v>9.27</v>
      </c>
      <c r="B50" s="37" t="str">
        <f>Language!A1231</f>
        <v>Selective enrichment broth (e.g., Selenite, GN, etc.)</v>
      </c>
      <c r="C50" s="456"/>
      <c r="F50" s="29">
        <f t="shared" si="4"/>
        <v>0</v>
      </c>
      <c r="G50" s="18" t="str">
        <f t="shared" si="5"/>
        <v>'</v>
      </c>
      <c r="H50" s="459"/>
    </row>
    <row r="51" spans="1:9">
      <c r="A51" s="10">
        <v>9.2799999999999994</v>
      </c>
      <c r="B51" s="37" t="str">
        <f>Language!A1232</f>
        <v>Other (describe in comments, not scored)</v>
      </c>
      <c r="C51" s="456"/>
      <c r="F51" s="68">
        <f t="shared" si="4"/>
        <v>0</v>
      </c>
      <c r="H51" s="459"/>
    </row>
    <row r="52" spans="1:9">
      <c r="A52" s="10">
        <v>9.2899999999999991</v>
      </c>
      <c r="B52" s="8" t="str">
        <f>Language!A1233</f>
        <v>Does the lab inoculate more than one patient sample on the same petri dish?</v>
      </c>
      <c r="C52" s="27"/>
      <c r="F52" s="29">
        <f t="shared" si="4"/>
        <v>0</v>
      </c>
      <c r="G52" s="18" t="str">
        <f>IF(F52="No",1,IF(F52="Yes",0,"'"))</f>
        <v>'</v>
      </c>
      <c r="H52" s="454"/>
      <c r="I52" s="249" t="str">
        <f>IF(F52="Yes","Red Flag","'")</f>
        <v>'</v>
      </c>
    </row>
    <row r="53" spans="1:9">
      <c r="A53" s="10"/>
      <c r="B53" s="8" t="str">
        <f>Language!A1234</f>
        <v xml:space="preserve">Are the following pathogens routinely targeted in every stool culture submitted? </v>
      </c>
    </row>
    <row r="54" spans="1:9">
      <c r="A54" s="198">
        <v>9.3000000000000007</v>
      </c>
      <c r="B54" s="37" t="str">
        <f>Language!A1235</f>
        <v>Salmonella spp.</v>
      </c>
      <c r="C54" s="27"/>
      <c r="F54" s="29">
        <f>C54</f>
        <v>0</v>
      </c>
      <c r="G54" s="18" t="str">
        <f>IF(F54="Yes",1,IF(F54="No",0,"'"))</f>
        <v>'</v>
      </c>
      <c r="H54" s="450"/>
    </row>
    <row r="55" spans="1:9">
      <c r="A55" s="10"/>
      <c r="B55" s="37" t="str">
        <f>Language!A1236</f>
        <v>Shigella spp.</v>
      </c>
      <c r="C55" s="27"/>
      <c r="F55" s="29">
        <f>C55</f>
        <v>0</v>
      </c>
      <c r="G55" s="18" t="str">
        <f>IF(F55="Yes",1,IF(F55="No",0,"'"))</f>
        <v>'</v>
      </c>
      <c r="H55" s="450"/>
    </row>
    <row r="56" spans="1:9">
      <c r="A56" s="10"/>
      <c r="B56" s="37" t="str">
        <f>Language!A1237</f>
        <v>Other (describe in comments, not scored)</v>
      </c>
      <c r="C56" s="46"/>
      <c r="F56" s="29">
        <f>C56</f>
        <v>0</v>
      </c>
      <c r="G56" s="18"/>
      <c r="H56" s="450"/>
    </row>
    <row r="57" spans="1:9">
      <c r="B57" s="8"/>
    </row>
    <row r="58" spans="1:9">
      <c r="B58" s="8"/>
    </row>
    <row r="59" spans="1:9">
      <c r="B59" s="8"/>
    </row>
    <row r="60" spans="1:9">
      <c r="B60" s="8"/>
    </row>
    <row r="61" spans="1:9">
      <c r="B61" s="8"/>
    </row>
    <row r="62" spans="1:9">
      <c r="B62" s="8"/>
    </row>
    <row r="63" spans="1:9">
      <c r="B63" s="8"/>
    </row>
    <row r="64" spans="1:9">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row r="197" spans="2:2">
      <c r="B197" s="8"/>
    </row>
    <row r="198" spans="2:2">
      <c r="B198" s="8"/>
    </row>
    <row r="199" spans="2:2">
      <c r="B199" s="8"/>
    </row>
    <row r="200" spans="2:2">
      <c r="B200" s="8"/>
    </row>
    <row r="201" spans="2:2">
      <c r="B201" s="8"/>
    </row>
    <row r="202" spans="2:2">
      <c r="B202" s="8"/>
    </row>
    <row r="203" spans="2:2">
      <c r="B203" s="8"/>
    </row>
    <row r="204" spans="2:2">
      <c r="B204" s="8"/>
    </row>
    <row r="205" spans="2:2">
      <c r="B205" s="8"/>
    </row>
    <row r="206" spans="2:2">
      <c r="B206" s="8"/>
    </row>
    <row r="207" spans="2:2">
      <c r="B207" s="8"/>
    </row>
    <row r="208" spans="2:2">
      <c r="B208" s="8"/>
    </row>
    <row r="209" spans="2:2">
      <c r="B209" s="8"/>
    </row>
    <row r="210" spans="2:2">
      <c r="B210" s="8"/>
    </row>
    <row r="211" spans="2:2">
      <c r="B211" s="8"/>
    </row>
    <row r="212" spans="2:2">
      <c r="B212" s="8"/>
    </row>
    <row r="213" spans="2:2">
      <c r="B213" s="8"/>
    </row>
    <row r="214" spans="2:2">
      <c r="B214" s="8"/>
    </row>
    <row r="215" spans="2:2">
      <c r="B215" s="8"/>
    </row>
    <row r="216" spans="2:2">
      <c r="B216" s="8"/>
    </row>
    <row r="217" spans="2:2">
      <c r="B217" s="8"/>
    </row>
    <row r="218" spans="2:2">
      <c r="B218" s="8"/>
    </row>
  </sheetData>
  <sheetProtection algorithmName="SHA-256" hashValue="FHiqtpQC7I1Cd7yk07SwHnc0DWxp3lZG+HUC0219Fq4=" saltValue="NYOnc715I73w70PWSAPbXQ==" spinCount="100000" sheet="1" selectLockedCells="1"/>
  <mergeCells count="3">
    <mergeCell ref="B11:H11"/>
    <mergeCell ref="B32:H32"/>
    <mergeCell ref="B34:H34"/>
  </mergeCells>
  <phoneticPr fontId="46" type="noConversion"/>
  <conditionalFormatting sqref="G3 G56">
    <cfRule type="cellIs" dxfId="1229" priority="588" stopIfTrue="1" operator="lessThan">
      <formula>0.5</formula>
    </cfRule>
    <cfRule type="cellIs" dxfId="1228" priority="589" stopIfTrue="1" operator="between">
      <formula>0.5</formula>
      <formula>0.75</formula>
    </cfRule>
    <cfRule type="cellIs" dxfId="1227" priority="590" stopIfTrue="1" operator="greaterThan">
      <formula>0.75</formula>
    </cfRule>
  </conditionalFormatting>
  <conditionalFormatting sqref="C24">
    <cfRule type="cellIs" dxfId="1226" priority="546" stopIfTrue="1" operator="greaterThanOrEqual">
      <formula>0.8</formula>
    </cfRule>
    <cfRule type="cellIs" dxfId="1225" priority="547" stopIfTrue="1" operator="between">
      <formula>0.5</formula>
      <formula>0.799</formula>
    </cfRule>
    <cfRule type="cellIs" dxfId="1224" priority="548" stopIfTrue="1" operator="lessThan">
      <formula>0.5</formula>
    </cfRule>
  </conditionalFormatting>
  <conditionalFormatting sqref="G28">
    <cfRule type="cellIs" dxfId="1223" priority="540" stopIfTrue="1" operator="lessThan">
      <formula>0.5</formula>
    </cfRule>
    <cfRule type="cellIs" dxfId="1222" priority="541" stopIfTrue="1" operator="between">
      <formula>0.5</formula>
      <formula>0.75</formula>
    </cfRule>
    <cfRule type="cellIs" dxfId="1221" priority="542" stopIfTrue="1" operator="greaterThan">
      <formula>0.75</formula>
    </cfRule>
  </conditionalFormatting>
  <conditionalFormatting sqref="G29 G31">
    <cfRule type="cellIs" dxfId="1220" priority="537" stopIfTrue="1" operator="lessThan">
      <formula>0.5</formula>
    </cfRule>
    <cfRule type="cellIs" dxfId="1219" priority="538" stopIfTrue="1" operator="between">
      <formula>0.5</formula>
      <formula>0.75</formula>
    </cfRule>
    <cfRule type="cellIs" dxfId="1218" priority="539" stopIfTrue="1" operator="greaterThan">
      <formula>0.75</formula>
    </cfRule>
  </conditionalFormatting>
  <conditionalFormatting sqref="G35">
    <cfRule type="cellIs" dxfId="1217" priority="531" stopIfTrue="1" operator="lessThan">
      <formula>0.5</formula>
    </cfRule>
    <cfRule type="cellIs" dxfId="1216" priority="532" stopIfTrue="1" operator="between">
      <formula>0.5</formula>
      <formula>0.75</formula>
    </cfRule>
    <cfRule type="cellIs" dxfId="1215" priority="533" stopIfTrue="1" operator="greaterThan">
      <formula>0.75</formula>
    </cfRule>
  </conditionalFormatting>
  <conditionalFormatting sqref="C41">
    <cfRule type="cellIs" dxfId="1214" priority="510" stopIfTrue="1" operator="greaterThanOrEqual">
      <formula>0.8</formula>
    </cfRule>
    <cfRule type="cellIs" dxfId="1213" priority="511" stopIfTrue="1" operator="between">
      <formula>0.5</formula>
      <formula>0.799</formula>
    </cfRule>
    <cfRule type="cellIs" dxfId="1212" priority="512" stopIfTrue="1" operator="lessThan">
      <formula>0.5</formula>
    </cfRule>
  </conditionalFormatting>
  <conditionalFormatting sqref="G43">
    <cfRule type="cellIs" dxfId="1211" priority="507" stopIfTrue="1" operator="lessThan">
      <formula>0.5</formula>
    </cfRule>
    <cfRule type="cellIs" dxfId="1210" priority="508" stopIfTrue="1" operator="between">
      <formula>0.5</formula>
      <formula>0.75</formula>
    </cfRule>
    <cfRule type="cellIs" dxfId="1209" priority="509" stopIfTrue="1" operator="greaterThan">
      <formula>0.75</formula>
    </cfRule>
  </conditionalFormatting>
  <conditionalFormatting sqref="G55">
    <cfRule type="cellIs" dxfId="1208" priority="501" stopIfTrue="1" operator="lessThan">
      <formula>0.5</formula>
    </cfRule>
    <cfRule type="cellIs" dxfId="1207" priority="502" stopIfTrue="1" operator="between">
      <formula>0.5</formula>
      <formula>0.75</formula>
    </cfRule>
    <cfRule type="cellIs" dxfId="1206" priority="503" stopIfTrue="1" operator="greaterThan">
      <formula>0.75</formula>
    </cfRule>
  </conditionalFormatting>
  <conditionalFormatting sqref="G54">
    <cfRule type="cellIs" dxfId="1205" priority="498" stopIfTrue="1" operator="lessThan">
      <formula>0.5</formula>
    </cfRule>
    <cfRule type="cellIs" dxfId="1204" priority="499" stopIfTrue="1" operator="between">
      <formula>0.5</formula>
      <formula>0.75</formula>
    </cfRule>
    <cfRule type="cellIs" dxfId="1203" priority="500" stopIfTrue="1" operator="greaterThan">
      <formula>0.75</formula>
    </cfRule>
  </conditionalFormatting>
  <conditionalFormatting sqref="G5:G8">
    <cfRule type="cellIs" dxfId="1202" priority="486" stopIfTrue="1" operator="lessThan">
      <formula>0.5</formula>
    </cfRule>
    <cfRule type="cellIs" dxfId="1201" priority="487" stopIfTrue="1" operator="between">
      <formula>0.5</formula>
      <formula>0.75</formula>
    </cfRule>
    <cfRule type="cellIs" dxfId="1200" priority="488" stopIfTrue="1" operator="greaterThan">
      <formula>0.75</formula>
    </cfRule>
  </conditionalFormatting>
  <conditionalFormatting sqref="G6">
    <cfRule type="cellIs" dxfId="1199" priority="483" stopIfTrue="1" operator="lessThan">
      <formula>0.5</formula>
    </cfRule>
    <cfRule type="cellIs" dxfId="1198" priority="484" stopIfTrue="1" operator="between">
      <formula>0.5</formula>
      <formula>0.75</formula>
    </cfRule>
    <cfRule type="cellIs" dxfId="1197" priority="485" stopIfTrue="1" operator="greaterThan">
      <formula>0.75</formula>
    </cfRule>
  </conditionalFormatting>
  <conditionalFormatting sqref="G7">
    <cfRule type="cellIs" dxfId="1196" priority="480" stopIfTrue="1" operator="lessThan">
      <formula>0.5</formula>
    </cfRule>
    <cfRule type="cellIs" dxfId="1195" priority="481" stopIfTrue="1" operator="between">
      <formula>0.5</formula>
      <formula>0.75</formula>
    </cfRule>
    <cfRule type="cellIs" dxfId="1194" priority="482" stopIfTrue="1" operator="greaterThan">
      <formula>0.75</formula>
    </cfRule>
  </conditionalFormatting>
  <conditionalFormatting sqref="G8:G9">
    <cfRule type="cellIs" dxfId="1193" priority="477" stopIfTrue="1" operator="lessThan">
      <formula>0.5</formula>
    </cfRule>
    <cfRule type="cellIs" dxfId="1192" priority="478" stopIfTrue="1" operator="between">
      <formula>0.5</formula>
      <formula>0.75</formula>
    </cfRule>
    <cfRule type="cellIs" dxfId="1191" priority="479" stopIfTrue="1" operator="greaterThan">
      <formula>0.75</formula>
    </cfRule>
  </conditionalFormatting>
  <conditionalFormatting sqref="G30">
    <cfRule type="cellIs" dxfId="1190" priority="459" stopIfTrue="1" operator="lessThan">
      <formula>0.5</formula>
    </cfRule>
    <cfRule type="cellIs" dxfId="1189" priority="460" stopIfTrue="1" operator="between">
      <formula>0.5</formula>
      <formula>0.75</formula>
    </cfRule>
    <cfRule type="cellIs" dxfId="1188" priority="461" stopIfTrue="1" operator="greaterThan">
      <formula>0.75</formula>
    </cfRule>
  </conditionalFormatting>
  <conditionalFormatting sqref="G38">
    <cfRule type="cellIs" dxfId="1187" priority="456" stopIfTrue="1" operator="lessThan">
      <formula>0.5</formula>
    </cfRule>
    <cfRule type="cellIs" dxfId="1186" priority="457" stopIfTrue="1" operator="between">
      <formula>0.5</formula>
      <formula>0.75</formula>
    </cfRule>
    <cfRule type="cellIs" dxfId="1185" priority="458" stopIfTrue="1" operator="greaterThan">
      <formula>0.75</formula>
    </cfRule>
  </conditionalFormatting>
  <conditionalFormatting sqref="G10">
    <cfRule type="cellIs" dxfId="1184" priority="465" stopIfTrue="1" operator="lessThan">
      <formula>0.5</formula>
    </cfRule>
    <cfRule type="cellIs" dxfId="1183" priority="466" stopIfTrue="1" operator="between">
      <formula>0.5</formula>
      <formula>0.75</formula>
    </cfRule>
    <cfRule type="cellIs" dxfId="1182" priority="467" stopIfTrue="1" operator="greaterThan">
      <formula>0.75</formula>
    </cfRule>
  </conditionalFormatting>
  <conditionalFormatting sqref="G12">
    <cfRule type="cellIs" dxfId="1181" priority="462" stopIfTrue="1" operator="lessThan">
      <formula>0.5</formula>
    </cfRule>
    <cfRule type="cellIs" dxfId="1180" priority="463" stopIfTrue="1" operator="between">
      <formula>0.5</formula>
      <formula>0.75</formula>
    </cfRule>
    <cfRule type="cellIs" dxfId="1179" priority="464" stopIfTrue="1" operator="greaterThan">
      <formula>0.75</formula>
    </cfRule>
  </conditionalFormatting>
  <conditionalFormatting sqref="G44:G45">
    <cfRule type="cellIs" dxfId="1178" priority="453" stopIfTrue="1" operator="lessThan">
      <formula>0.5</formula>
    </cfRule>
    <cfRule type="cellIs" dxfId="1177" priority="454" stopIfTrue="1" operator="between">
      <formula>0.5</formula>
      <formula>0.75</formula>
    </cfRule>
    <cfRule type="cellIs" dxfId="1176" priority="455" stopIfTrue="1" operator="greaterThan">
      <formula>0.75</formula>
    </cfRule>
  </conditionalFormatting>
  <conditionalFormatting sqref="G51 G17 F40 G28:G31 G38 G1:G3 G35:G36 G53:G1048576 G40:G46 G24:G25 C14:G14 G5:G10 G12">
    <cfRule type="containsText" dxfId="1175" priority="452" stopIfTrue="1" operator="containsText" text="RED FLAG">
      <formula>NOT(ISERROR(SEARCH("RED FLAG",C1)))</formula>
    </cfRule>
  </conditionalFormatting>
  <conditionalFormatting sqref="C28:C31">
    <cfRule type="containsText" dxfId="1174" priority="427" stopIfTrue="1" operator="containsText" text="RED FLAG">
      <formula>NOT(ISERROR(SEARCH("RED FLAG",C28)))</formula>
    </cfRule>
  </conditionalFormatting>
  <conditionalFormatting sqref="C3">
    <cfRule type="cellIs" dxfId="1173" priority="220" stopIfTrue="1" operator="greaterThanOrEqual">
      <formula>0.8</formula>
    </cfRule>
    <cfRule type="cellIs" dxfId="1172" priority="221" stopIfTrue="1" operator="between">
      <formula>0.5</formula>
      <formula>0.799</formula>
    </cfRule>
    <cfRule type="cellIs" dxfId="1171" priority="222" stopIfTrue="1" operator="lessThan">
      <formula>0.5</formula>
    </cfRule>
  </conditionalFormatting>
  <conditionalFormatting sqref="G27">
    <cfRule type="cellIs" dxfId="1170" priority="183" stopIfTrue="1" operator="lessThan">
      <formula>0.5</formula>
    </cfRule>
    <cfRule type="cellIs" dxfId="1169" priority="184" stopIfTrue="1" operator="between">
      <formula>0.5</formula>
      <formula>0.75</formula>
    </cfRule>
    <cfRule type="cellIs" dxfId="1168" priority="185" stopIfTrue="1" operator="greaterThan">
      <formula>0.75</formula>
    </cfRule>
  </conditionalFormatting>
  <conditionalFormatting sqref="G27">
    <cfRule type="containsText" dxfId="1167" priority="182" stopIfTrue="1" operator="containsText" text="RED FLAG">
      <formula>NOT(ISERROR(SEARCH("RED FLAG",G27)))</formula>
    </cfRule>
  </conditionalFormatting>
  <conditionalFormatting sqref="G16">
    <cfRule type="cellIs" dxfId="1166" priority="163" stopIfTrue="1" operator="lessThan">
      <formula>0.5</formula>
    </cfRule>
    <cfRule type="cellIs" dxfId="1165" priority="164" stopIfTrue="1" operator="between">
      <formula>0.5</formula>
      <formula>0.75</formula>
    </cfRule>
    <cfRule type="cellIs" dxfId="1164" priority="165" stopIfTrue="1" operator="greaterThan">
      <formula>0.75</formula>
    </cfRule>
  </conditionalFormatting>
  <conditionalFormatting sqref="G16">
    <cfRule type="containsText" dxfId="1163" priority="162" stopIfTrue="1" operator="containsText" text="RED FLAG">
      <formula>NOT(ISERROR(SEARCH("RED FLAG",G16)))</formula>
    </cfRule>
  </conditionalFormatting>
  <conditionalFormatting sqref="C16">
    <cfRule type="cellIs" dxfId="1162" priority="159" stopIfTrue="1" operator="greaterThanOrEqual">
      <formula>0.8</formula>
    </cfRule>
    <cfRule type="cellIs" dxfId="1161" priority="160" stopIfTrue="1" operator="between">
      <formula>0.5</formula>
      <formula>0.799</formula>
    </cfRule>
    <cfRule type="cellIs" dxfId="1160" priority="161" stopIfTrue="1" operator="lessThan">
      <formula>0.5</formula>
    </cfRule>
  </conditionalFormatting>
  <conditionalFormatting sqref="G37">
    <cfRule type="cellIs" dxfId="1159" priority="61" stopIfTrue="1" operator="lessThan">
      <formula>0.5</formula>
    </cfRule>
    <cfRule type="cellIs" dxfId="1158" priority="62" stopIfTrue="1" operator="between">
      <formula>0.5</formula>
      <formula>0.75</formula>
    </cfRule>
    <cfRule type="cellIs" dxfId="1157" priority="63" stopIfTrue="1" operator="greaterThan">
      <formula>0.75</formula>
    </cfRule>
  </conditionalFormatting>
  <conditionalFormatting sqref="G37">
    <cfRule type="containsText" dxfId="1156" priority="60" stopIfTrue="1" operator="containsText" text="RED FLAG">
      <formula>NOT(ISERROR(SEARCH("RED FLAG",G37)))</formula>
    </cfRule>
  </conditionalFormatting>
  <conditionalFormatting sqref="G52">
    <cfRule type="cellIs" dxfId="1155" priority="57" stopIfTrue="1" operator="lessThan">
      <formula>0.5</formula>
    </cfRule>
    <cfRule type="cellIs" dxfId="1154" priority="58" stopIfTrue="1" operator="between">
      <formula>0.5</formula>
      <formula>0.75</formula>
    </cfRule>
    <cfRule type="cellIs" dxfId="1153" priority="59" stopIfTrue="1" operator="greaterThan">
      <formula>0.75</formula>
    </cfRule>
  </conditionalFormatting>
  <conditionalFormatting sqref="G52">
    <cfRule type="containsText" dxfId="1152" priority="56" stopIfTrue="1" operator="containsText" text="RED FLAG">
      <formula>NOT(ISERROR(SEARCH("RED FLAG",G52)))</formula>
    </cfRule>
  </conditionalFormatting>
  <conditionalFormatting sqref="I9">
    <cfRule type="cellIs" dxfId="1151" priority="53" stopIfTrue="1" operator="lessThan">
      <formula>0.5</formula>
    </cfRule>
    <cfRule type="cellIs" dxfId="1150" priority="54" stopIfTrue="1" operator="between">
      <formula>0.5</formula>
      <formula>0.75</formula>
    </cfRule>
    <cfRule type="cellIs" dxfId="1149" priority="55" stopIfTrue="1" operator="greaterThan">
      <formula>0.75</formula>
    </cfRule>
  </conditionalFormatting>
  <conditionalFormatting sqref="I9">
    <cfRule type="containsText" dxfId="1148" priority="52" stopIfTrue="1" operator="containsText" text="RED FLAG">
      <formula>NOT(ISERROR(SEARCH("RED FLAG",I9)))</formula>
    </cfRule>
  </conditionalFormatting>
  <conditionalFormatting sqref="I37">
    <cfRule type="cellIs" dxfId="1147" priority="49" stopIfTrue="1" operator="lessThan">
      <formula>0.5</formula>
    </cfRule>
    <cfRule type="cellIs" dxfId="1146" priority="50" stopIfTrue="1" operator="between">
      <formula>0.5</formula>
      <formula>0.75</formula>
    </cfRule>
    <cfRule type="cellIs" dxfId="1145" priority="51" stopIfTrue="1" operator="greaterThan">
      <formula>0.75</formula>
    </cfRule>
  </conditionalFormatting>
  <conditionalFormatting sqref="I37">
    <cfRule type="containsText" dxfId="1144" priority="48" stopIfTrue="1" operator="containsText" text="RED FLAG">
      <formula>NOT(ISERROR(SEARCH("RED FLAG",I37)))</formula>
    </cfRule>
  </conditionalFormatting>
  <conditionalFormatting sqref="I39">
    <cfRule type="containsText" dxfId="1143" priority="43" operator="containsText" text="Training Opportunity">
      <formula>NOT(ISERROR(SEARCH("Training Opportunity",I39)))</formula>
    </cfRule>
  </conditionalFormatting>
  <conditionalFormatting sqref="I7">
    <cfRule type="cellIs" dxfId="1142" priority="40" stopIfTrue="1" operator="lessThan">
      <formula>0.5</formula>
    </cfRule>
    <cfRule type="cellIs" dxfId="1141" priority="41" stopIfTrue="1" operator="between">
      <formula>0.5</formula>
      <formula>0.75</formula>
    </cfRule>
    <cfRule type="cellIs" dxfId="1140" priority="42" stopIfTrue="1" operator="greaterThan">
      <formula>0.75</formula>
    </cfRule>
  </conditionalFormatting>
  <conditionalFormatting sqref="I7">
    <cfRule type="containsText" dxfId="1139" priority="39" stopIfTrue="1" operator="containsText" text="RED FLAG">
      <formula>NOT(ISERROR(SEARCH("RED FLAG",I7)))</formula>
    </cfRule>
  </conditionalFormatting>
  <conditionalFormatting sqref="I8">
    <cfRule type="cellIs" dxfId="1138" priority="36" stopIfTrue="1" operator="lessThan">
      <formula>0.5</formula>
    </cfRule>
    <cfRule type="cellIs" dxfId="1137" priority="37" stopIfTrue="1" operator="between">
      <formula>0.5</formula>
      <formula>0.75</formula>
    </cfRule>
    <cfRule type="cellIs" dxfId="1136" priority="38" stopIfTrue="1" operator="greaterThan">
      <formula>0.75</formula>
    </cfRule>
  </conditionalFormatting>
  <conditionalFormatting sqref="I8">
    <cfRule type="containsText" dxfId="1135" priority="35" stopIfTrue="1" operator="containsText" text="RED FLAG">
      <formula>NOT(ISERROR(SEARCH("RED FLAG",I8)))</formula>
    </cfRule>
  </conditionalFormatting>
  <conditionalFormatting sqref="G10">
    <cfRule type="cellIs" dxfId="1134" priority="32" stopIfTrue="1" operator="lessThan">
      <formula>0.5</formula>
    </cfRule>
    <cfRule type="cellIs" dxfId="1133" priority="33" stopIfTrue="1" operator="between">
      <formula>0.5</formula>
      <formula>0.75</formula>
    </cfRule>
    <cfRule type="cellIs" dxfId="1132" priority="34" stopIfTrue="1" operator="greaterThan">
      <formula>0.75</formula>
    </cfRule>
  </conditionalFormatting>
  <conditionalFormatting sqref="G10">
    <cfRule type="cellIs" dxfId="1131" priority="29" stopIfTrue="1" operator="lessThan">
      <formula>0.5</formula>
    </cfRule>
    <cfRule type="cellIs" dxfId="1130" priority="30" stopIfTrue="1" operator="between">
      <formula>0.5</formula>
      <formula>0.75</formula>
    </cfRule>
    <cfRule type="cellIs" dxfId="1129" priority="31" stopIfTrue="1" operator="greaterThan">
      <formula>0.75</formula>
    </cfRule>
  </conditionalFormatting>
  <conditionalFormatting sqref="G12">
    <cfRule type="cellIs" dxfId="1128" priority="26" stopIfTrue="1" operator="lessThan">
      <formula>0.5</formula>
    </cfRule>
    <cfRule type="cellIs" dxfId="1127" priority="27" stopIfTrue="1" operator="between">
      <formula>0.5</formula>
      <formula>0.75</formula>
    </cfRule>
    <cfRule type="cellIs" dxfId="1126" priority="28" stopIfTrue="1" operator="greaterThan">
      <formula>0.75</formula>
    </cfRule>
  </conditionalFormatting>
  <conditionalFormatting sqref="G18:G23">
    <cfRule type="cellIs" dxfId="1125" priority="23" stopIfTrue="1" operator="lessThan">
      <formula>0.5</formula>
    </cfRule>
    <cfRule type="cellIs" dxfId="1124" priority="24" stopIfTrue="1" operator="between">
      <formula>0.5</formula>
      <formula>0.75</formula>
    </cfRule>
    <cfRule type="cellIs" dxfId="1123" priority="25" stopIfTrue="1" operator="greaterThan">
      <formula>0.75</formula>
    </cfRule>
  </conditionalFormatting>
  <conditionalFormatting sqref="G18:G23">
    <cfRule type="containsText" dxfId="1122" priority="22" stopIfTrue="1" operator="containsText" text="RED FLAG">
      <formula>NOT(ISERROR(SEARCH("RED FLAG",G18)))</formula>
    </cfRule>
  </conditionalFormatting>
  <conditionalFormatting sqref="G26">
    <cfRule type="cellIs" dxfId="1121" priority="19" stopIfTrue="1" operator="lessThan">
      <formula>0.5</formula>
    </cfRule>
    <cfRule type="cellIs" dxfId="1120" priority="20" stopIfTrue="1" operator="between">
      <formula>0.5</formula>
      <formula>0.75</formula>
    </cfRule>
    <cfRule type="cellIs" dxfId="1119" priority="21" stopIfTrue="1" operator="greaterThan">
      <formula>0.75</formula>
    </cfRule>
  </conditionalFormatting>
  <conditionalFormatting sqref="G26">
    <cfRule type="containsText" dxfId="1118" priority="18" stopIfTrue="1" operator="containsText" text="RED FLAG">
      <formula>NOT(ISERROR(SEARCH("RED FLAG",G26)))</formula>
    </cfRule>
  </conditionalFormatting>
  <conditionalFormatting sqref="G33">
    <cfRule type="cellIs" dxfId="1117" priority="15" stopIfTrue="1" operator="lessThan">
      <formula>0.5</formula>
    </cfRule>
    <cfRule type="cellIs" dxfId="1116" priority="16" stopIfTrue="1" operator="between">
      <formula>0.5</formula>
      <formula>0.75</formula>
    </cfRule>
    <cfRule type="cellIs" dxfId="1115" priority="17" stopIfTrue="1" operator="greaterThan">
      <formula>0.75</formula>
    </cfRule>
  </conditionalFormatting>
  <conditionalFormatting sqref="G33">
    <cfRule type="containsText" dxfId="1114" priority="14" stopIfTrue="1" operator="containsText" text="RED FLAG">
      <formula>NOT(ISERROR(SEARCH("RED FLAG",G33)))</formula>
    </cfRule>
  </conditionalFormatting>
  <conditionalFormatting sqref="G55">
    <cfRule type="cellIs" dxfId="1113" priority="3" stopIfTrue="1" operator="lessThan">
      <formula>0.5</formula>
    </cfRule>
    <cfRule type="cellIs" dxfId="1112" priority="4" stopIfTrue="1" operator="between">
      <formula>0.5</formula>
      <formula>0.75</formula>
    </cfRule>
    <cfRule type="cellIs" dxfId="1111" priority="5" stopIfTrue="1" operator="greaterThan">
      <formula>0.75</formula>
    </cfRule>
  </conditionalFormatting>
  <conditionalFormatting sqref="G39">
    <cfRule type="cellIs" dxfId="1110" priority="11" stopIfTrue="1" operator="lessThan">
      <formula>0.5</formula>
    </cfRule>
    <cfRule type="cellIs" dxfId="1109" priority="12" stopIfTrue="1" operator="between">
      <formula>0.5</formula>
      <formula>0.75</formula>
    </cfRule>
    <cfRule type="cellIs" dxfId="1108" priority="13" stopIfTrue="1" operator="greaterThan">
      <formula>0.75</formula>
    </cfRule>
  </conditionalFormatting>
  <conditionalFormatting sqref="G39">
    <cfRule type="containsText" dxfId="1107" priority="10" stopIfTrue="1" operator="containsText" text="RED FLAG">
      <formula>NOT(ISERROR(SEARCH("RED FLAG",G39)))</formula>
    </cfRule>
  </conditionalFormatting>
  <conditionalFormatting sqref="G54:G55 G44 G47:G50">
    <cfRule type="cellIs" dxfId="1106" priority="7" stopIfTrue="1" operator="lessThan">
      <formula>0.5</formula>
    </cfRule>
    <cfRule type="cellIs" dxfId="1105" priority="8" stopIfTrue="1" operator="between">
      <formula>0.5</formula>
      <formula>0.75</formula>
    </cfRule>
    <cfRule type="cellIs" dxfId="1104" priority="9" stopIfTrue="1" operator="greaterThan">
      <formula>0.75</formula>
    </cfRule>
  </conditionalFormatting>
  <conditionalFormatting sqref="G47:G50">
    <cfRule type="containsText" dxfId="1103" priority="6" stopIfTrue="1" operator="containsText" text="RED FLAG">
      <formula>NOT(ISERROR(SEARCH("RED FLAG",G47)))</formula>
    </cfRule>
  </conditionalFormatting>
  <conditionalFormatting sqref="I12">
    <cfRule type="containsText" dxfId="1102" priority="2" operator="containsText" text="Red Flag">
      <formula>NOT(ISERROR(SEARCH("Red Flag",I12)))</formula>
    </cfRule>
  </conditionalFormatting>
  <conditionalFormatting sqref="I52">
    <cfRule type="containsText" dxfId="1101" priority="1" operator="containsText" text="Red Flag">
      <formula>NOT(ISERROR(SEARCH("Red Flag",I52)))</formula>
    </cfRule>
  </conditionalFormatting>
  <dataValidations count="5">
    <dataValidation type="list" allowBlank="1" showInputMessage="1" showErrorMessage="1" sqref="C51 C4 C25 C42" xr:uid="{00000000-0002-0000-0D00-000000000000}">
      <formula1>"Yes,No"</formula1>
    </dataValidation>
    <dataValidation type="list" allowBlank="1" showInputMessage="1" showErrorMessage="1" sqref="C47:C50 C26 C33 C37:C38 C43:C44 C18:C23 C12 C54:C56 C52 C5:C10" xr:uid="{00000000-0002-0000-0D00-000001000000}">
      <formula1>"Yes,No,NA"</formula1>
    </dataValidation>
    <dataValidation type="list" allowBlank="1" showInputMessage="1" showErrorMessage="1" sqref="C35 C13" xr:uid="{00000000-0002-0000-0D00-000002000000}">
      <formula1>"1,2,3,NA"</formula1>
    </dataValidation>
    <dataValidation type="list" allowBlank="1" showInputMessage="1" showErrorMessage="1" sqref="C39" xr:uid="{00000000-0002-0000-0D00-000003000000}">
      <formula1>"1,2,3"</formula1>
    </dataValidation>
    <dataValidation type="list" allowBlank="1" showInputMessage="1" showErrorMessage="1" sqref="C27" xr:uid="{00000000-0002-0000-0D00-000004000000}">
      <formula1>"1,2,3,4,NA"</formula1>
    </dataValidation>
  </dataValidations>
  <pageMargins left="0.25" right="0.25" top="0.75000000000000011" bottom="0.75000000000000011" header="0.30000000000000004" footer="0.30000000000000004"/>
  <pageSetup paperSize="9" scale="89" fitToHeight="2" orientation="landscape" r:id="rId1"/>
  <headerFooter>
    <oddFooter>&amp;C&amp;A -&amp;P</oddFooter>
  </headerFooter>
  <rowBreaks count="1" manualBreakCount="1">
    <brk id="23"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70C0"/>
    <pageSetUpPr fitToPage="1"/>
  </sheetPr>
  <dimension ref="A1:K244"/>
  <sheetViews>
    <sheetView zoomScaleNormal="100" zoomScaleSheetLayoutView="70" zoomScalePageLayoutView="80" workbookViewId="0">
      <selection activeCell="C12" sqref="C12"/>
    </sheetView>
  </sheetViews>
  <sheetFormatPr defaultColWidth="11" defaultRowHeight="15.6"/>
  <cols>
    <col min="1" max="1" width="5" style="6" bestFit="1" customWidth="1"/>
    <col min="2" max="2" width="82.19921875" style="8" customWidth="1"/>
    <col min="3" max="3" width="5.296875" style="22" bestFit="1" customWidth="1"/>
    <col min="4" max="4" width="2.19921875" style="22" customWidth="1"/>
    <col min="5" max="5" width="3.69921875" style="22" hidden="1" customWidth="1"/>
    <col min="6" max="6" width="7.19921875" style="22" hidden="1" customWidth="1"/>
    <col min="7" max="7" width="5.19921875" style="22" customWidth="1"/>
    <col min="8" max="8" width="37.69921875" style="72" customWidth="1"/>
    <col min="9" max="9" width="9.69921875" style="22" customWidth="1"/>
    <col min="10" max="10" width="11" style="22"/>
    <col min="11" max="11" width="22.19921875" style="22" bestFit="1" customWidth="1"/>
    <col min="12" max="12" width="3.69921875" style="22" bestFit="1" customWidth="1"/>
    <col min="13" max="16384" width="11" style="22"/>
  </cols>
  <sheetData>
    <row r="1" spans="1:11">
      <c r="A1" s="10"/>
      <c r="B1" s="43" t="str">
        <f>Language!A1238</f>
        <v>10- IDENTIFICATION METHODS &amp; STANDARD OPERATING PROCEDURES</v>
      </c>
      <c r="C1" s="52" t="str">
        <f>IF(COUNT(G13:G245)=0,"???",AVERAGE(G13:G245))</f>
        <v>???</v>
      </c>
      <c r="H1" s="199" t="str">
        <f>'Facility 1'!H1</f>
        <v>Comments</v>
      </c>
    </row>
    <row r="2" spans="1:11" ht="16.2" thickBot="1">
      <c r="A2" s="10"/>
      <c r="B2" s="210" t="str">
        <f>Language!A1239</f>
        <v>Please note: all questions refer only to clinical patient isolates, NOT to research or environmental isolates</v>
      </c>
      <c r="C2" s="19"/>
      <c r="H2" s="200"/>
    </row>
    <row r="3" spans="1:11">
      <c r="A3" s="166"/>
      <c r="B3" s="78" t="str">
        <f>Language!A1240</f>
        <v>CONVENTIONAL ID METHODS - SOP SCORE SUMMARY</v>
      </c>
      <c r="C3" s="73" t="str">
        <f>IF(COUNT(C4:C8)=0,"???",AVERAGE(C4:C8))</f>
        <v>???</v>
      </c>
      <c r="H3" s="458"/>
    </row>
    <row r="4" spans="1:11">
      <c r="A4" s="10"/>
      <c r="B4" s="24" t="str">
        <f>Language!A1241</f>
        <v>Answer the questions below for each manual method/biochemical in use at the lab.</v>
      </c>
      <c r="C4" s="397" t="str">
        <f>IF(COUNT(G13,G22,G35,G44,G51,G60,G67,G74,G82,G90,G97,G104,G111,G118,G125,G132,G139,G146,G155,G162,G171,G178,G185,G192,G199)=0,"???",AVERAGE(G13,G22,G35,G44,G51,G60,G67,G74,G82,G90,G97,G104,G111,G118,G125,G132,G139,G146,G155,G162,G171,G178,G185,G192,G199))</f>
        <v>???</v>
      </c>
      <c r="H4" s="482" t="str">
        <f>Language!A1334</f>
        <v>Fully implemented*, up-to-date SOP is in place</v>
      </c>
    </row>
    <row r="5" spans="1:11" ht="20.399999999999999" customHeight="1">
      <c r="A5" s="10"/>
      <c r="B5" s="652" t="str">
        <f>Language!A1242</f>
        <v>*"Fully implemented" means that the SOP has been approved and signed by a lab supervisor or designee, and that laboratory staff have been trained on the contents and utilize the SOP. A SOP that is complete but has not been approved or is not in routine use is not considered fully implemented.</v>
      </c>
      <c r="C5" s="397" t="str">
        <f>IF(COUNT(G14,G23,G36,G45,G52,G61,G68,G75,G83,G91,G98,G105,G112,G119,G126,G133,G140,G147,G156,G163,G172,G179,G186,G193,G200)=0,"???",AVERAGE(G14,G23,G36,G45,G52,G61,G68,G75,G83,G91,G98,G105,G112,G119,G126,G133,G140,G147,G156,G163,G172,G179,G186,G193,G200))</f>
        <v>???</v>
      </c>
      <c r="G5" s="538"/>
      <c r="H5" s="482" t="str">
        <f>Language!A1335</f>
        <v>SOP is readily available** to bench staff</v>
      </c>
    </row>
    <row r="6" spans="1:11" ht="20.399999999999999" customHeight="1">
      <c r="A6" s="10"/>
      <c r="B6" s="652" t="e">
        <f>Language!#REF!</f>
        <v>#REF!</v>
      </c>
      <c r="C6" s="397" t="str">
        <f>IF(COUNT(G15,G24,G37,G46,G53,G62,G69,G76,G84,G92,G99,G106,G113,G120,G127,G134,G141,G148,G157,G164,G173,G180,G187,G194,G201)=0,"???",AVERAGE(G15,G24,G37,G46,G53,G62,G69,G76,G84,G92,G99,G106,G113,G120,G127,G134,G141,G148,G157,G164,G173,G180,G187,G194,G201))</f>
        <v>???</v>
      </c>
      <c r="G6" s="538"/>
      <c r="H6" s="482" t="str">
        <f>Language!A1336</f>
        <v>SOP defines QC organisms, frequency, and expected results</v>
      </c>
    </row>
    <row r="7" spans="1:11" ht="20.399999999999999" customHeight="1">
      <c r="A7" s="10"/>
      <c r="B7" s="652" t="str">
        <f>Language!A1243</f>
        <v xml:space="preserve">**"Readily available" means that technologists can easily access the SOP at or near the bench, either in electronic or paper form, and that the information sought is easily located within the SOP, not buried in a larger document, and is written in a language that those using the SOP can read proficiently.  </v>
      </c>
      <c r="C7" s="397" t="str">
        <f>IF(COUNT(G16,G25,G38,G47,G54,G63,G70,G77,G85,G93,G100,G107,G114,G121,G128,G135,G142,G149,G158,G165,G174,G181,G188,G195,G202)=0,"???",AVERAGE(G16,G25,G38,G47,G54,G63,G70,G77,G85,G93,G100,G107,G114,G121,G128,G135,G142,G149,G158,G165,G174,G181,G188,G195,G202))</f>
        <v>???</v>
      </c>
      <c r="G7" s="538"/>
      <c r="H7" s="482" t="str">
        <f>Language!A1337</f>
        <v>SOP provides stepwise instructions for test performance</v>
      </c>
    </row>
    <row r="8" spans="1:11" ht="20.399999999999999" customHeight="1">
      <c r="A8" s="10"/>
      <c r="B8" s="652" t="e">
        <f>Language!#REF!</f>
        <v>#REF!</v>
      </c>
      <c r="C8" s="397" t="str">
        <f>IF(COUNT(G17,G26,G39,G48,G55,G64,G71,G78,G86,G94,G101,G108,G115,G122,G129,G136,G143,G150,G159,G166,G175,G182,G189,G196,G203)=0,"???",AVERAGE(G17,G26,G39,G48,G55,G64,G71,G78,G86,G94,G101,G108,G115,G122,G129,G136,G143,G150,G159,G166,G175,G182,G189,G196,G203))</f>
        <v>???</v>
      </c>
      <c r="G8" s="538"/>
      <c r="H8" s="482" t="str">
        <f>Language!A1338</f>
        <v>SOP provides stepwise instructions for test interpretation</v>
      </c>
    </row>
    <row r="9" spans="1:11">
      <c r="A9" s="16"/>
      <c r="B9" s="471"/>
      <c r="C9" s="235"/>
      <c r="D9" s="514"/>
      <c r="E9" s="201"/>
      <c r="F9" s="201"/>
      <c r="G9" s="201"/>
      <c r="H9" s="471"/>
      <c r="J9" s="201"/>
      <c r="K9" s="201"/>
    </row>
    <row r="10" spans="1:11" ht="16.2" thickBot="1">
      <c r="A10" s="166"/>
      <c r="B10" s="78" t="str">
        <f>Language!A1244</f>
        <v>STAPHYLOCOCCUS AUREUS, KEY ID METHODS</v>
      </c>
      <c r="C10" s="73" t="str">
        <f>IF((OR(C11="???", C20="???")),"???",IF(COUNT(G13:G30)=0,"NA",AVERAGE(G13:G30)))</f>
        <v>???</v>
      </c>
    </row>
    <row r="11" spans="1:11" ht="16.2" thickBot="1">
      <c r="A11" s="10"/>
      <c r="B11" s="45" t="str">
        <f>Language!A1245</f>
        <v>Catalase (H2O2)</v>
      </c>
      <c r="C11" s="207" t="str">
        <f>IF(C12="No","NA",IF(COUNTBLANK(C14:C18)=5,"???",IF(COUNT(G13:G18)=0,"NA",AVERAGE(G13:G18))))</f>
        <v>???</v>
      </c>
      <c r="H11" s="446"/>
    </row>
    <row r="12" spans="1:11" ht="27.6" customHeight="1">
      <c r="A12" s="120" t="s">
        <v>1188</v>
      </c>
      <c r="B12" s="37" t="str">
        <f>Language!A1246</f>
        <v>Is this reagent used to test patient isolates? (If No, select NA for the remaining questions about this reagent)</v>
      </c>
      <c r="C12" s="27"/>
      <c r="F12" s="29">
        <f t="shared" ref="F12:F18" si="0">C12</f>
        <v>0</v>
      </c>
      <c r="H12" s="459"/>
      <c r="J12" s="250"/>
    </row>
    <row r="13" spans="1:11" ht="27.6" customHeight="1">
      <c r="A13" s="120" t="s">
        <v>1189</v>
      </c>
      <c r="B13" s="413" t="str">
        <f>Language!A1247</f>
        <v>Has an up-to-date SOP been fully implemented?* (If the reagent is in use but there is no SOP, answer "no" to all remaining questions about this reagent)</v>
      </c>
      <c r="C13" s="27"/>
      <c r="F13" s="29">
        <f t="shared" si="0"/>
        <v>0</v>
      </c>
      <c r="G13" s="18" t="str">
        <f t="shared" ref="G13:G17" si="1">IF(F13="Yes",1,IF(F13="No",0,"'"))</f>
        <v>'</v>
      </c>
      <c r="H13" s="450"/>
      <c r="I13" s="64"/>
    </row>
    <row r="14" spans="1:11">
      <c r="A14" s="120" t="s">
        <v>1190</v>
      </c>
      <c r="B14" s="413" t="str">
        <f>Language!A1248</f>
        <v>Is the SOP readily available** to bench staff?</v>
      </c>
      <c r="C14" s="27"/>
      <c r="F14" s="29">
        <f t="shared" si="0"/>
        <v>0</v>
      </c>
      <c r="G14" s="18" t="str">
        <f t="shared" si="1"/>
        <v>'</v>
      </c>
      <c r="H14" s="450"/>
      <c r="I14" s="64"/>
    </row>
    <row r="15" spans="1:11" ht="27.6" customHeight="1">
      <c r="A15" s="120" t="s">
        <v>1191</v>
      </c>
      <c r="B15" s="413" t="str">
        <f>Language!A1249</f>
        <v>Does the SOP define QC organisms, QC frequency, and expected QC results?</v>
      </c>
      <c r="C15" s="27"/>
      <c r="F15" s="29">
        <f t="shared" si="0"/>
        <v>0</v>
      </c>
      <c r="G15" s="18" t="str">
        <f t="shared" si="1"/>
        <v>'</v>
      </c>
      <c r="H15" s="450"/>
      <c r="I15" s="64"/>
    </row>
    <row r="16" spans="1:11">
      <c r="A16" s="120" t="s">
        <v>1192</v>
      </c>
      <c r="B16" s="413" t="str">
        <f>Language!A1250</f>
        <v>Does the SOP provide stepwise instructions for how to perform the test correctly?</v>
      </c>
      <c r="C16" s="27"/>
      <c r="F16" s="29">
        <f t="shared" si="0"/>
        <v>0</v>
      </c>
      <c r="G16" s="18" t="str">
        <f>IF(F16="Yes",1,IF(F16="No",0,IF(F16="NA","NA","'")))</f>
        <v>'</v>
      </c>
      <c r="H16" s="450"/>
      <c r="I16" s="64"/>
    </row>
    <row r="17" spans="1:10">
      <c r="A17" s="120" t="s">
        <v>1193</v>
      </c>
      <c r="B17" s="413" t="str">
        <f>Language!A1251</f>
        <v>Does the SOP provide stepwise instructions for interpreting the test result correctly?</v>
      </c>
      <c r="C17" s="27"/>
      <c r="F17" s="29">
        <f t="shared" si="0"/>
        <v>0</v>
      </c>
      <c r="G17" s="18" t="str">
        <f t="shared" si="1"/>
        <v>'</v>
      </c>
      <c r="H17" s="454"/>
    </row>
    <row r="18" spans="1:10" ht="27.6" customHeight="1">
      <c r="A18" s="120" t="s">
        <v>1194</v>
      </c>
      <c r="B18" s="37" t="str">
        <f>Language!A1252</f>
        <v>Is catalase testing performed prior to coagulase testing on suspected Staphylococcus isolates?</v>
      </c>
      <c r="C18" s="46"/>
      <c r="F18" s="29">
        <f t="shared" si="0"/>
        <v>0</v>
      </c>
      <c r="G18" s="18" t="str">
        <f>IF(F18=1,1,IF(F18=2,0.5,IF(F18=3,0,"'")))</f>
        <v>'</v>
      </c>
      <c r="H18" s="454"/>
      <c r="I18" s="92" t="str">
        <f>IF(F18=2,"Red Flag",IF(F18=3,"Red Flag","'"))</f>
        <v>'</v>
      </c>
    </row>
    <row r="19" spans="1:10" ht="16.2" thickBot="1">
      <c r="A19" s="10"/>
      <c r="B19" s="36" t="str">
        <f>Language!A1253</f>
        <v>1: Always - 2:  Sometimes - 3: Never</v>
      </c>
      <c r="C19" s="42"/>
      <c r="F19" s="29"/>
      <c r="G19" s="18"/>
      <c r="H19" s="175"/>
      <c r="J19" s="64"/>
    </row>
    <row r="20" spans="1:10" ht="16.2" thickBot="1">
      <c r="A20" s="10"/>
      <c r="B20" s="45" t="str">
        <f>Language!A1254</f>
        <v>Coagulase plasma</v>
      </c>
      <c r="C20" s="207" t="str">
        <f>IF(C21="No","NA",IF(COUNTBLANK(C22:C29)=8,"???",IF(COUNT(G21:G29)=0,"NA",AVERAGE(G21:G29))))</f>
        <v>???</v>
      </c>
      <c r="H20" s="446"/>
    </row>
    <row r="21" spans="1:10" ht="27.6" customHeight="1">
      <c r="A21" s="120" t="s">
        <v>1195</v>
      </c>
      <c r="B21" s="37" t="str">
        <f>Language!A1246</f>
        <v>Is this reagent used to test patient isolates? (If No, select NA for the remaining questions about this reagent)</v>
      </c>
      <c r="C21" s="27"/>
      <c r="F21" s="29">
        <f t="shared" ref="F21:F27" si="2">C21</f>
        <v>0</v>
      </c>
      <c r="H21" s="459"/>
      <c r="J21" s="250"/>
    </row>
    <row r="22" spans="1:10" ht="27.6" customHeight="1">
      <c r="A22" s="120" t="s">
        <v>1196</v>
      </c>
      <c r="B22" s="37" t="str">
        <f>Language!A1247</f>
        <v>Has an up-to-date SOP been fully implemented?* (If the reagent is in use but there is no SOP, answer "no" to all remaining questions about this reagent)</v>
      </c>
      <c r="C22" s="27"/>
      <c r="F22" s="29">
        <f t="shared" si="2"/>
        <v>0</v>
      </c>
      <c r="G22" s="18" t="str">
        <f t="shared" ref="G22:G26" si="3">IF(F22="Yes",1,IF(F22="No",0,"'"))</f>
        <v>'</v>
      </c>
      <c r="H22" s="450"/>
    </row>
    <row r="23" spans="1:10">
      <c r="A23" s="120" t="s">
        <v>1197</v>
      </c>
      <c r="B23" s="37" t="str">
        <f>Language!A1248</f>
        <v>Is the SOP readily available** to bench staff?</v>
      </c>
      <c r="C23" s="27"/>
      <c r="F23" s="29">
        <f t="shared" si="2"/>
        <v>0</v>
      </c>
      <c r="G23" s="18" t="str">
        <f t="shared" si="3"/>
        <v>'</v>
      </c>
      <c r="H23" s="450"/>
    </row>
    <row r="24" spans="1:10" ht="27.6" customHeight="1">
      <c r="A24" s="120" t="s">
        <v>1198</v>
      </c>
      <c r="B24" s="37" t="str">
        <f>Language!A1249</f>
        <v>Does the SOP define QC organisms, QC frequency, and expected QC results?</v>
      </c>
      <c r="C24" s="27"/>
      <c r="F24" s="29">
        <f t="shared" si="2"/>
        <v>0</v>
      </c>
      <c r="G24" s="18" t="str">
        <f t="shared" si="3"/>
        <v>'</v>
      </c>
      <c r="H24" s="450"/>
    </row>
    <row r="25" spans="1:10">
      <c r="A25" s="120" t="s">
        <v>1199</v>
      </c>
      <c r="B25" s="37" t="str">
        <f>Language!A1250</f>
        <v>Does the SOP provide stepwise instructions for how to perform the test correctly?</v>
      </c>
      <c r="C25" s="27"/>
      <c r="F25" s="29">
        <f t="shared" si="2"/>
        <v>0</v>
      </c>
      <c r="G25" s="18" t="str">
        <f t="shared" si="3"/>
        <v>'</v>
      </c>
      <c r="H25" s="450"/>
    </row>
    <row r="26" spans="1:10">
      <c r="A26" s="120" t="s">
        <v>1200</v>
      </c>
      <c r="B26" s="37" t="str">
        <f>Language!A1251</f>
        <v>Does the SOP provide stepwise instructions for interpreting the test result correctly?</v>
      </c>
      <c r="C26" s="27"/>
      <c r="F26" s="29">
        <f t="shared" si="2"/>
        <v>0</v>
      </c>
      <c r="G26" s="18" t="str">
        <f t="shared" si="3"/>
        <v>'</v>
      </c>
      <c r="H26" s="454"/>
    </row>
    <row r="27" spans="1:10">
      <c r="A27" s="120" t="s">
        <v>1201</v>
      </c>
      <c r="B27" s="37" t="str">
        <f>Language!A1255</f>
        <v>What is the source of the plasma used for coagulase testing?</v>
      </c>
      <c r="C27" s="27"/>
      <c r="F27" s="29">
        <f t="shared" si="2"/>
        <v>0</v>
      </c>
      <c r="G27" s="18" t="str">
        <f>IF(F27=1,1,IF(F27=2,1,IF(F27=3,0.5,IF(F27=4,0,"'"))))</f>
        <v>'</v>
      </c>
      <c r="H27" s="454"/>
      <c r="J27" s="250"/>
    </row>
    <row r="28" spans="1:10" ht="27.6" customHeight="1">
      <c r="A28" s="10"/>
      <c r="B28" s="36" t="str">
        <f>Language!A1256</f>
        <v xml:space="preserve">1: Commercially purchased rabbit plasma – 2: Locally bled rabbit – 3: Human plasma – 4: Other source (please describe in comments) </v>
      </c>
      <c r="C28" s="42"/>
      <c r="F28" s="29"/>
      <c r="G28" s="18"/>
      <c r="H28" s="175"/>
    </row>
    <row r="29" spans="1:10" ht="27.6" customHeight="1">
      <c r="A29" s="120" t="s">
        <v>1202</v>
      </c>
      <c r="B29" s="37" t="str">
        <f>Language!A1257</f>
        <v>Are negative slide coagulase results confirmed with a tube coagulase test before being reported?</v>
      </c>
      <c r="C29" s="46"/>
      <c r="F29" s="29">
        <f>C29</f>
        <v>0</v>
      </c>
      <c r="G29" s="18" t="str">
        <f>IF(F29=1,1,IF(F29=2,0.5,IF(F29=3,0,"'")))</f>
        <v>'</v>
      </c>
      <c r="H29" s="454"/>
      <c r="I29" s="92" t="str">
        <f>IF(F29=2,"Red Flag",IF(F29=3,"Red Flag","'"))</f>
        <v>'</v>
      </c>
    </row>
    <row r="30" spans="1:10">
      <c r="A30" s="10"/>
      <c r="B30" s="36" t="str">
        <f>Language!A1258</f>
        <v>1: Always 2:  Sometimes 3: Never; NA, lab does not perform slide coagulase testing</v>
      </c>
      <c r="C30" s="42"/>
      <c r="F30" s="29"/>
      <c r="G30" s="18"/>
      <c r="H30" s="175"/>
    </row>
    <row r="31" spans="1:10" ht="16.2" thickBot="1">
      <c r="A31" s="10"/>
      <c r="B31" s="48"/>
      <c r="C31" s="42"/>
      <c r="F31" s="29"/>
      <c r="G31" s="18"/>
      <c r="H31" s="175"/>
    </row>
    <row r="32" spans="1:10" ht="16.2" thickBot="1">
      <c r="A32" s="166"/>
      <c r="B32" s="78" t="str">
        <f>Language!A1259</f>
        <v>STAPHYLOCOCCUS AUREUS, OTHER ID METHODS</v>
      </c>
      <c r="C32" s="73" t="str">
        <f>IF((OR(C33="???",C42="???",C49="???")),"???",IF(COUNT(G34:G55)=0,"NA",AVERAGE(G34:G55)))</f>
        <v>???</v>
      </c>
      <c r="F32" s="29"/>
      <c r="G32" s="18"/>
      <c r="H32" s="446"/>
    </row>
    <row r="33" spans="1:10" ht="16.2" thickBot="1">
      <c r="A33" s="10"/>
      <c r="B33" s="45" t="str">
        <f>Language!A1260</f>
        <v>Staph latex agglutination</v>
      </c>
      <c r="C33" s="207" t="str">
        <f>IF(C34="No","NA",IF(COUNTBLANK(C35:C40)=6,"???",IF(COUNT(G35:G40)=0,"NA",AVERAGE(G35:G40))))</f>
        <v>???</v>
      </c>
      <c r="H33" s="446"/>
    </row>
    <row r="34" spans="1:10" ht="27.6" customHeight="1">
      <c r="A34" s="120" t="s">
        <v>1203</v>
      </c>
      <c r="B34" s="37" t="str">
        <f>Language!A1246</f>
        <v>Is this reagent used to test patient isolates? (If No, select NA for the remaining questions about this reagent)</v>
      </c>
      <c r="C34" s="27"/>
      <c r="F34" s="29">
        <f t="shared" ref="F34:F40" si="4">C34</f>
        <v>0</v>
      </c>
      <c r="H34" s="450"/>
      <c r="J34" s="250"/>
    </row>
    <row r="35" spans="1:10" ht="27.6" customHeight="1">
      <c r="A35" s="120" t="s">
        <v>1204</v>
      </c>
      <c r="B35" s="37" t="str">
        <f>Language!A1247</f>
        <v>Has an up-to-date SOP been fully implemented?* (If the reagent is in use but there is no SOP, answer "no" to all remaining questions about this reagent)</v>
      </c>
      <c r="C35" s="27"/>
      <c r="F35" s="29">
        <f t="shared" si="4"/>
        <v>0</v>
      </c>
      <c r="G35" s="18" t="str">
        <f>IF(F35="Yes",1,IF(F35="No",0,"'"))</f>
        <v>'</v>
      </c>
      <c r="H35" s="450"/>
    </row>
    <row r="36" spans="1:10">
      <c r="A36" s="120" t="s">
        <v>1205</v>
      </c>
      <c r="B36" s="37" t="str">
        <f>Language!A1248</f>
        <v>Is the SOP readily available** to bench staff?</v>
      </c>
      <c r="C36" s="27"/>
      <c r="F36" s="29">
        <f t="shared" si="4"/>
        <v>0</v>
      </c>
      <c r="G36" s="18" t="str">
        <f t="shared" ref="G36:G39" si="5">IF(F36="Yes",1,IF(F36="No",0,"'"))</f>
        <v>'</v>
      </c>
      <c r="H36" s="450"/>
    </row>
    <row r="37" spans="1:10" ht="27.6" customHeight="1">
      <c r="A37" s="120" t="s">
        <v>1206</v>
      </c>
      <c r="B37" s="37" t="str">
        <f>Language!A1249</f>
        <v>Does the SOP define QC organisms, QC frequency, and expected QC results?</v>
      </c>
      <c r="C37" s="27"/>
      <c r="F37" s="29">
        <f t="shared" si="4"/>
        <v>0</v>
      </c>
      <c r="G37" s="18" t="str">
        <f t="shared" si="5"/>
        <v>'</v>
      </c>
      <c r="H37" s="450"/>
    </row>
    <row r="38" spans="1:10">
      <c r="A38" s="120" t="s">
        <v>1207</v>
      </c>
      <c r="B38" s="37" t="str">
        <f>Language!A1250</f>
        <v>Does the SOP provide stepwise instructions for how to perform the test correctly?</v>
      </c>
      <c r="C38" s="27"/>
      <c r="F38" s="29">
        <f t="shared" si="4"/>
        <v>0</v>
      </c>
      <c r="G38" s="18" t="str">
        <f t="shared" si="5"/>
        <v>'</v>
      </c>
      <c r="H38" s="450"/>
    </row>
    <row r="39" spans="1:10">
      <c r="A39" s="120" t="s">
        <v>1208</v>
      </c>
      <c r="B39" s="37" t="str">
        <f>Language!A1251</f>
        <v>Does the SOP provide stepwise instructions for interpreting the test result correctly?</v>
      </c>
      <c r="C39" s="27"/>
      <c r="F39" s="29">
        <f t="shared" si="4"/>
        <v>0</v>
      </c>
      <c r="G39" s="18" t="str">
        <f t="shared" si="5"/>
        <v>'</v>
      </c>
      <c r="H39" s="454"/>
    </row>
    <row r="40" spans="1:10">
      <c r="A40" s="120" t="s">
        <v>1209</v>
      </c>
      <c r="B40" s="37" t="str">
        <f>Language!A1261</f>
        <v>Are disposable reaction cards discarded after use (not reused)?</v>
      </c>
      <c r="C40" s="46"/>
      <c r="F40" s="29">
        <f t="shared" si="4"/>
        <v>0</v>
      </c>
      <c r="G40" s="18" t="str">
        <f>IF(F40=1,1,IF(F40=2,0.5,IF(F40=3,0,"'")))</f>
        <v>'</v>
      </c>
      <c r="H40" s="454"/>
    </row>
    <row r="41" spans="1:10" ht="27.6" customHeight="1" thickBot="1">
      <c r="A41" s="10"/>
      <c r="B41" s="36" t="str">
        <f>Language!A1262</f>
        <v>1: Always - 2:  Sometimes - 3: No - NA, lab does not use latex agglutination to identify Staph</v>
      </c>
      <c r="F41" s="29"/>
      <c r="G41" s="18"/>
      <c r="H41" s="175"/>
    </row>
    <row r="42" spans="1:10" ht="16.2" thickBot="1">
      <c r="A42" s="10"/>
      <c r="B42" s="45" t="str">
        <f>Language!A1263</f>
        <v>Staph chromagar</v>
      </c>
      <c r="C42" s="207" t="str">
        <f>IF(C43="No","NA",IF(COUNTBLANK(C44:C48)=5,"???",IF(COUNT(G44:G48)=0,"NA",AVERAGE(G44:G48))))</f>
        <v>???</v>
      </c>
      <c r="H42" s="446"/>
    </row>
    <row r="43" spans="1:10" ht="27.6" customHeight="1">
      <c r="A43" s="120" t="s">
        <v>1210</v>
      </c>
      <c r="B43" s="37" t="str">
        <f>Language!A1246</f>
        <v>Is this reagent used to test patient isolates? (If No, select NA for the remaining questions about this reagent)</v>
      </c>
      <c r="C43" s="27"/>
      <c r="F43" s="29">
        <f t="shared" ref="F43:F48" si="6">C43</f>
        <v>0</v>
      </c>
      <c r="G43" s="18"/>
      <c r="H43" s="450"/>
      <c r="J43" s="250"/>
    </row>
    <row r="44" spans="1:10" ht="27.6" customHeight="1">
      <c r="A44" s="120" t="s">
        <v>1211</v>
      </c>
      <c r="B44" s="37" t="str">
        <f>Language!A1247</f>
        <v>Has an up-to-date SOP been fully implemented?* (If the reagent is in use but there is no SOP, answer "no" to all remaining questions about this reagent)</v>
      </c>
      <c r="C44" s="27"/>
      <c r="F44" s="29">
        <f t="shared" si="6"/>
        <v>0</v>
      </c>
      <c r="G44" s="18" t="str">
        <f>IF(F44="Yes",1,IF(F44="No",0,"'"))</f>
        <v>'</v>
      </c>
      <c r="H44" s="450"/>
    </row>
    <row r="45" spans="1:10">
      <c r="A45" s="120" t="s">
        <v>1212</v>
      </c>
      <c r="B45" s="37" t="str">
        <f>Language!A1248</f>
        <v>Is the SOP readily available** to bench staff?</v>
      </c>
      <c r="C45" s="27"/>
      <c r="F45" s="29">
        <f t="shared" si="6"/>
        <v>0</v>
      </c>
      <c r="G45" s="18" t="str">
        <f t="shared" ref="G45:G48" si="7">IF(F45="Yes",1,IF(F45="No",0,"'"))</f>
        <v>'</v>
      </c>
      <c r="H45" s="450"/>
    </row>
    <row r="46" spans="1:10" ht="27.6" customHeight="1">
      <c r="A46" s="120" t="s">
        <v>1213</v>
      </c>
      <c r="B46" s="37" t="str">
        <f>Language!A1249</f>
        <v>Does the SOP define QC organisms, QC frequency, and expected QC results?</v>
      </c>
      <c r="C46" s="27"/>
      <c r="F46" s="29">
        <f t="shared" si="6"/>
        <v>0</v>
      </c>
      <c r="G46" s="18" t="str">
        <f t="shared" si="7"/>
        <v>'</v>
      </c>
      <c r="H46" s="450"/>
    </row>
    <row r="47" spans="1:10">
      <c r="A47" s="120" t="s">
        <v>1214</v>
      </c>
      <c r="B47" s="37" t="str">
        <f>Language!A1250</f>
        <v>Does the SOP provide stepwise instructions for how to perform the test correctly?</v>
      </c>
      <c r="C47" s="27"/>
      <c r="F47" s="29">
        <f t="shared" si="6"/>
        <v>0</v>
      </c>
      <c r="G47" s="18" t="str">
        <f t="shared" si="7"/>
        <v>'</v>
      </c>
      <c r="H47" s="450"/>
    </row>
    <row r="48" spans="1:10" ht="16.2" thickBot="1">
      <c r="A48" s="120" t="s">
        <v>1215</v>
      </c>
      <c r="B48" s="37" t="str">
        <f>Language!A1251</f>
        <v>Does the SOP provide stepwise instructions for interpreting the test result correctly?</v>
      </c>
      <c r="C48" s="27"/>
      <c r="F48" s="29">
        <f t="shared" si="6"/>
        <v>0</v>
      </c>
      <c r="G48" s="18" t="str">
        <f t="shared" si="7"/>
        <v>'</v>
      </c>
      <c r="H48" s="450"/>
    </row>
    <row r="49" spans="1:10" ht="16.2" thickBot="1">
      <c r="A49" s="10"/>
      <c r="B49" s="45" t="str">
        <f>Language!A1264</f>
        <v>DNase</v>
      </c>
      <c r="C49" s="207" t="str">
        <f>IF(C50="No","NA",IF(COUNTBLANK(C51:C55)=5,"???",IF(COUNT(G51:G55)=0,"NA",AVERAGE(G51:G55))))</f>
        <v>???</v>
      </c>
      <c r="F49" s="29"/>
      <c r="G49" s="18"/>
      <c r="H49" s="446"/>
    </row>
    <row r="50" spans="1:10" ht="27.6" customHeight="1">
      <c r="A50" s="120" t="s">
        <v>1216</v>
      </c>
      <c r="B50" s="37" t="str">
        <f>Language!A1246</f>
        <v>Is this reagent used to test patient isolates? (If No, select NA for the remaining questions about this reagent)</v>
      </c>
      <c r="C50" s="27"/>
      <c r="F50" s="29">
        <f t="shared" ref="F50:F55" si="8">C50</f>
        <v>0</v>
      </c>
      <c r="G50" s="18"/>
      <c r="H50" s="450"/>
      <c r="J50" s="250"/>
    </row>
    <row r="51" spans="1:10" ht="27.6" customHeight="1">
      <c r="A51" s="120" t="s">
        <v>1217</v>
      </c>
      <c r="B51" s="37" t="str">
        <f>Language!A1247</f>
        <v>Has an up-to-date SOP been fully implemented?* (If the reagent is in use but there is no SOP, answer "no" to all remaining questions about this reagent)</v>
      </c>
      <c r="C51" s="27"/>
      <c r="F51" s="29">
        <f t="shared" si="8"/>
        <v>0</v>
      </c>
      <c r="G51" s="18" t="str">
        <f>IF(F51="Yes",1,IF(F51="No",0,"'"))</f>
        <v>'</v>
      </c>
      <c r="H51" s="450"/>
    </row>
    <row r="52" spans="1:10">
      <c r="A52" s="120" t="s">
        <v>1218</v>
      </c>
      <c r="B52" s="37" t="str">
        <f>Language!A1248</f>
        <v>Is the SOP readily available** to bench staff?</v>
      </c>
      <c r="C52" s="27"/>
      <c r="F52" s="29">
        <f t="shared" si="8"/>
        <v>0</v>
      </c>
      <c r="G52" s="18" t="str">
        <f t="shared" ref="G52:G55" si="9">IF(F52="Yes",1,IF(F52="No",0,"'"))</f>
        <v>'</v>
      </c>
      <c r="H52" s="450"/>
    </row>
    <row r="53" spans="1:10" ht="27.6" customHeight="1">
      <c r="A53" s="120" t="s">
        <v>1219</v>
      </c>
      <c r="B53" s="37" t="str">
        <f>Language!A1249</f>
        <v>Does the SOP define QC organisms, QC frequency, and expected QC results?</v>
      </c>
      <c r="C53" s="27"/>
      <c r="F53" s="29">
        <f t="shared" si="8"/>
        <v>0</v>
      </c>
      <c r="G53" s="18" t="str">
        <f t="shared" si="9"/>
        <v>'</v>
      </c>
      <c r="H53" s="450"/>
    </row>
    <row r="54" spans="1:10">
      <c r="A54" s="120" t="s">
        <v>1220</v>
      </c>
      <c r="B54" s="37" t="str">
        <f>Language!A1250</f>
        <v>Does the SOP provide stepwise instructions for how to perform the test correctly?</v>
      </c>
      <c r="C54" s="27"/>
      <c r="F54" s="29">
        <f t="shared" si="8"/>
        <v>0</v>
      </c>
      <c r="G54" s="18" t="str">
        <f t="shared" si="9"/>
        <v>'</v>
      </c>
      <c r="H54" s="450"/>
    </row>
    <row r="55" spans="1:10">
      <c r="A55" s="120" t="s">
        <v>1221</v>
      </c>
      <c r="B55" s="37" t="str">
        <f>Language!A1251</f>
        <v>Does the SOP provide stepwise instructions for interpreting the test result correctly?</v>
      </c>
      <c r="C55" s="27"/>
      <c r="F55" s="29">
        <f t="shared" si="8"/>
        <v>0</v>
      </c>
      <c r="G55" s="18" t="str">
        <f t="shared" si="9"/>
        <v>'</v>
      </c>
      <c r="H55" s="450"/>
    </row>
    <row r="56" spans="1:10" ht="16.2" thickBot="1">
      <c r="A56" s="119"/>
      <c r="B56" s="20"/>
      <c r="H56" s="13"/>
    </row>
    <row r="57" spans="1:10" ht="16.2" thickBot="1">
      <c r="A57" s="166"/>
      <c r="B57" s="78" t="str">
        <f>Language!A1265</f>
        <v>STREPTOCOCCUS PNEUMONIAE, CONVENTIONAL ID METHODS</v>
      </c>
      <c r="C57" s="73" t="str">
        <f>IF((OR(C58="???",C65="???",C72="???",C80="???")),"???",IF(COUNT(G59:G86)=0,"NA",AVERAGE(G59:G86)))</f>
        <v>???</v>
      </c>
      <c r="H57" s="446"/>
    </row>
    <row r="58" spans="1:10" ht="16.2" thickBot="1">
      <c r="A58" s="10"/>
      <c r="B58" s="45" t="str">
        <f>Language!A1266</f>
        <v>PYR</v>
      </c>
      <c r="C58" s="207" t="str">
        <f>IF(C59="No","NA",IF(COUNTBLANK(C60:C64)=5,"???",IF(COUNT(G60:G64)=0,"NA",AVERAGE(G60:G64))))</f>
        <v>???</v>
      </c>
      <c r="H58" s="446"/>
    </row>
    <row r="59" spans="1:10" ht="27.6" customHeight="1">
      <c r="A59" s="120" t="s">
        <v>1222</v>
      </c>
      <c r="B59" s="37" t="str">
        <f>Language!A1246</f>
        <v>Is this reagent used to test patient isolates? (If No, select NA for the remaining questions about this reagent)</v>
      </c>
      <c r="C59" s="27"/>
      <c r="F59" s="29">
        <f t="shared" ref="F59:F64" si="10">C59</f>
        <v>0</v>
      </c>
      <c r="G59" s="18"/>
      <c r="H59" s="450"/>
      <c r="J59" s="250"/>
    </row>
    <row r="60" spans="1:10" ht="27.6" customHeight="1">
      <c r="A60" s="120" t="s">
        <v>1223</v>
      </c>
      <c r="B60" s="37" t="str">
        <f>Language!A1247</f>
        <v>Has an up-to-date SOP been fully implemented?* (If the reagent is in use but there is no SOP, answer "no" to all remaining questions about this reagent)</v>
      </c>
      <c r="C60" s="27"/>
      <c r="F60" s="29">
        <f t="shared" si="10"/>
        <v>0</v>
      </c>
      <c r="G60" s="18" t="str">
        <f>IF(F60="Yes",1,IF(F60="No",0,"'"))</f>
        <v>'</v>
      </c>
      <c r="H60" s="450"/>
    </row>
    <row r="61" spans="1:10">
      <c r="A61" s="120" t="s">
        <v>1224</v>
      </c>
      <c r="B61" s="37" t="str">
        <f>Language!A1248</f>
        <v>Is the SOP readily available** to bench staff?</v>
      </c>
      <c r="C61" s="27"/>
      <c r="F61" s="29">
        <f t="shared" si="10"/>
        <v>0</v>
      </c>
      <c r="G61" s="18" t="str">
        <f t="shared" ref="G61:G64" si="11">IF(F61="Yes",1,IF(F61="No",0,"'"))</f>
        <v>'</v>
      </c>
      <c r="H61" s="450"/>
    </row>
    <row r="62" spans="1:10" ht="27.6" customHeight="1">
      <c r="A62" s="120" t="s">
        <v>1225</v>
      </c>
      <c r="B62" s="37" t="str">
        <f>Language!A1249</f>
        <v>Does the SOP define QC organisms, QC frequency, and expected QC results?</v>
      </c>
      <c r="C62" s="27"/>
      <c r="F62" s="29">
        <f t="shared" si="10"/>
        <v>0</v>
      </c>
      <c r="G62" s="18" t="str">
        <f t="shared" si="11"/>
        <v>'</v>
      </c>
      <c r="H62" s="450"/>
    </row>
    <row r="63" spans="1:10">
      <c r="A63" s="120" t="s">
        <v>1226</v>
      </c>
      <c r="B63" s="37" t="str">
        <f>Language!A1250</f>
        <v>Does the SOP provide stepwise instructions for how to perform the test correctly?</v>
      </c>
      <c r="C63" s="27"/>
      <c r="F63" s="29">
        <f t="shared" si="10"/>
        <v>0</v>
      </c>
      <c r="G63" s="18" t="str">
        <f t="shared" si="11"/>
        <v>'</v>
      </c>
      <c r="H63" s="450"/>
    </row>
    <row r="64" spans="1:10" ht="16.2" thickBot="1">
      <c r="A64" s="120" t="s">
        <v>1227</v>
      </c>
      <c r="B64" s="37" t="str">
        <f>Language!A1251</f>
        <v>Does the SOP provide stepwise instructions for interpreting the test result correctly?</v>
      </c>
      <c r="C64" s="27"/>
      <c r="F64" s="29">
        <f t="shared" si="10"/>
        <v>0</v>
      </c>
      <c r="G64" s="18" t="str">
        <f t="shared" si="11"/>
        <v>'</v>
      </c>
      <c r="H64" s="450"/>
    </row>
    <row r="65" spans="1:10" ht="16.2" thickBot="1">
      <c r="A65" s="10"/>
      <c r="B65" s="45" t="str">
        <f>Language!A1267</f>
        <v>Bile solubility (deoxycholate)</v>
      </c>
      <c r="C65" s="75" t="str">
        <f>IF(C66="No","NA",IF(COUNTBLANK(C67:C71)=5,"???",IF(COUNT(G67:G71)=0,"NA",AVERAGE(G67:G71))))</f>
        <v>???</v>
      </c>
      <c r="H65" s="446"/>
    </row>
    <row r="66" spans="1:10" ht="27.6" customHeight="1">
      <c r="A66" s="120" t="s">
        <v>1228</v>
      </c>
      <c r="B66" s="37" t="str">
        <f>Language!A1246</f>
        <v>Is this reagent used to test patient isolates? (If No, select NA for the remaining questions about this reagent)</v>
      </c>
      <c r="C66" s="27"/>
      <c r="F66" s="29">
        <f t="shared" ref="F66:F71" si="12">C66</f>
        <v>0</v>
      </c>
      <c r="H66" s="459"/>
      <c r="J66" s="250"/>
    </row>
    <row r="67" spans="1:10" ht="27.6" customHeight="1">
      <c r="A67" s="120" t="s">
        <v>1229</v>
      </c>
      <c r="B67" s="37" t="str">
        <f>Language!A1247</f>
        <v>Has an up-to-date SOP been fully implemented?* (If the reagent is in use but there is no SOP, answer "no" to all remaining questions about this reagent)</v>
      </c>
      <c r="C67" s="27"/>
      <c r="F67" s="29">
        <f t="shared" si="12"/>
        <v>0</v>
      </c>
      <c r="G67" s="18" t="str">
        <f>IF(F67="Yes",1,IF(F67="No",0,"'"))</f>
        <v>'</v>
      </c>
      <c r="H67" s="450"/>
    </row>
    <row r="68" spans="1:10">
      <c r="A68" s="120" t="s">
        <v>1230</v>
      </c>
      <c r="B68" s="37" t="str">
        <f>Language!A1248</f>
        <v>Is the SOP readily available** to bench staff?</v>
      </c>
      <c r="C68" s="27"/>
      <c r="F68" s="29">
        <f t="shared" si="12"/>
        <v>0</v>
      </c>
      <c r="G68" s="18" t="str">
        <f t="shared" ref="G68:G71" si="13">IF(F68="Yes",1,IF(F68="No",0,"'"))</f>
        <v>'</v>
      </c>
      <c r="H68" s="450"/>
    </row>
    <row r="69" spans="1:10" ht="27.6" customHeight="1">
      <c r="A69" s="120" t="s">
        <v>1231</v>
      </c>
      <c r="B69" s="37" t="str">
        <f>Language!A1249</f>
        <v>Does the SOP define QC organisms, QC frequency, and expected QC results?</v>
      </c>
      <c r="C69" s="27"/>
      <c r="F69" s="29">
        <f t="shared" si="12"/>
        <v>0</v>
      </c>
      <c r="G69" s="18" t="str">
        <f t="shared" si="13"/>
        <v>'</v>
      </c>
      <c r="H69" s="450"/>
    </row>
    <row r="70" spans="1:10">
      <c r="A70" s="120" t="s">
        <v>1232</v>
      </c>
      <c r="B70" s="37" t="str">
        <f>Language!A1250</f>
        <v>Does the SOP provide stepwise instructions for how to perform the test correctly?</v>
      </c>
      <c r="C70" s="27"/>
      <c r="F70" s="29">
        <f t="shared" si="12"/>
        <v>0</v>
      </c>
      <c r="G70" s="18" t="str">
        <f t="shared" si="13"/>
        <v>'</v>
      </c>
      <c r="H70" s="450"/>
    </row>
    <row r="71" spans="1:10" ht="16.2" thickBot="1">
      <c r="A71" s="120" t="s">
        <v>1233</v>
      </c>
      <c r="B71" s="37" t="str">
        <f>Language!A1251</f>
        <v>Does the SOP provide stepwise instructions for interpreting the test result correctly?</v>
      </c>
      <c r="C71" s="27"/>
      <c r="F71" s="29">
        <f t="shared" si="12"/>
        <v>0</v>
      </c>
      <c r="G71" s="18" t="str">
        <f t="shared" si="13"/>
        <v>'</v>
      </c>
      <c r="H71" s="450"/>
    </row>
    <row r="72" spans="1:10" ht="16.2" thickBot="1">
      <c r="A72" s="10"/>
      <c r="B72" s="45" t="str">
        <f>Language!A1268</f>
        <v>Optochin (“P”) disk</v>
      </c>
      <c r="C72" s="207" t="str">
        <f>IF(C73="No","NA",IF(COUNTBLANK(C74:C79)=6,"???",IF(COUNT(G74:G79)=0,"NA",AVERAGE(G74:G79))))</f>
        <v>???</v>
      </c>
      <c r="H72" s="446"/>
    </row>
    <row r="73" spans="1:10" ht="27.6" customHeight="1">
      <c r="A73" s="120" t="s">
        <v>1234</v>
      </c>
      <c r="B73" s="37" t="str">
        <f>Language!A1246</f>
        <v>Is this reagent used to test patient isolates? (If No, select NA for the remaining questions about this reagent)</v>
      </c>
      <c r="C73" s="27"/>
      <c r="F73" s="29">
        <f t="shared" ref="F73:F79" si="14">C73</f>
        <v>0</v>
      </c>
      <c r="H73" s="459"/>
      <c r="J73" s="250"/>
    </row>
    <row r="74" spans="1:10" ht="27.6" customHeight="1">
      <c r="A74" s="120" t="s">
        <v>1235</v>
      </c>
      <c r="B74" s="37" t="str">
        <f>Language!A1247</f>
        <v>Has an up-to-date SOP been fully implemented?* (If the reagent is in use but there is no SOP, answer "no" to all remaining questions about this reagent)</v>
      </c>
      <c r="C74" s="27"/>
      <c r="F74" s="29">
        <f t="shared" si="14"/>
        <v>0</v>
      </c>
      <c r="G74" s="18" t="str">
        <f>IF(F74="Yes",1,IF(F74="No",0,"'"))</f>
        <v>'</v>
      </c>
      <c r="H74" s="450"/>
    </row>
    <row r="75" spans="1:10">
      <c r="A75" s="120" t="s">
        <v>1236</v>
      </c>
      <c r="B75" s="37" t="str">
        <f>Language!A1248</f>
        <v>Is the SOP readily available** to bench staff?</v>
      </c>
      <c r="C75" s="27"/>
      <c r="F75" s="29">
        <f t="shared" si="14"/>
        <v>0</v>
      </c>
      <c r="G75" s="18" t="str">
        <f t="shared" ref="G75:G78" si="15">IF(F75="Yes",1,IF(F75="No",0,"'"))</f>
        <v>'</v>
      </c>
      <c r="H75" s="450"/>
    </row>
    <row r="76" spans="1:10" ht="27.6" customHeight="1">
      <c r="A76" s="120" t="s">
        <v>1237</v>
      </c>
      <c r="B76" s="37" t="str">
        <f>Language!A1249</f>
        <v>Does the SOP define QC organisms, QC frequency, and expected QC results?</v>
      </c>
      <c r="C76" s="27"/>
      <c r="F76" s="29">
        <f t="shared" si="14"/>
        <v>0</v>
      </c>
      <c r="G76" s="18" t="str">
        <f t="shared" si="15"/>
        <v>'</v>
      </c>
      <c r="H76" s="450"/>
    </row>
    <row r="77" spans="1:10">
      <c r="A77" s="120" t="s">
        <v>1238</v>
      </c>
      <c r="B77" s="37" t="str">
        <f>Language!A1250</f>
        <v>Does the SOP provide stepwise instructions for how to perform the test correctly?</v>
      </c>
      <c r="C77" s="27"/>
      <c r="F77" s="29">
        <f t="shared" si="14"/>
        <v>0</v>
      </c>
      <c r="G77" s="18" t="str">
        <f t="shared" si="15"/>
        <v>'</v>
      </c>
      <c r="H77" s="450"/>
    </row>
    <row r="78" spans="1:10">
      <c r="A78" s="120" t="s">
        <v>1239</v>
      </c>
      <c r="B78" s="37" t="str">
        <f>Language!A1251</f>
        <v>Does the SOP provide stepwise instructions for interpreting the test result correctly?</v>
      </c>
      <c r="C78" s="27"/>
      <c r="F78" s="29">
        <f t="shared" si="14"/>
        <v>0</v>
      </c>
      <c r="G78" s="18" t="str">
        <f t="shared" si="15"/>
        <v>'</v>
      </c>
      <c r="H78" s="454"/>
    </row>
    <row r="79" spans="1:10" ht="27.6" customHeight="1" thickBot="1">
      <c r="A79" s="120" t="s">
        <v>1240</v>
      </c>
      <c r="B79" s="37" t="str">
        <f>Language!A1269</f>
        <v>If the Optochin result is equivocal (9-13mm), is bile solubility or other additional testing performed to confirm the ID?</v>
      </c>
      <c r="C79" s="27"/>
      <c r="F79" s="29">
        <f t="shared" si="14"/>
        <v>0</v>
      </c>
      <c r="G79" s="18" t="str">
        <f>IF(F79="Yes",1,IF(F79="No",0,"'"))</f>
        <v>'</v>
      </c>
      <c r="H79" s="454"/>
      <c r="I79" s="18" t="str">
        <f>IF(C79="No","Red Flag","'")</f>
        <v>'</v>
      </c>
    </row>
    <row r="80" spans="1:10" ht="16.2" thickBot="1">
      <c r="A80" s="10"/>
      <c r="B80" s="45" t="str">
        <f>Language!A1270</f>
        <v>Streptococcus pneumoniae latex agglutination</v>
      </c>
      <c r="C80" s="207" t="str">
        <f>IF(C81="No","NA",IF(COUNTBLANK(C82:C86)=5,"???",IF(COUNT(G82:G86)=0,"NA",AVERAGE(G82:G86))))</f>
        <v>???</v>
      </c>
      <c r="H80" s="446"/>
    </row>
    <row r="81" spans="1:10" ht="27.6" customHeight="1">
      <c r="A81" s="120" t="s">
        <v>1241</v>
      </c>
      <c r="B81" s="37" t="str">
        <f>Language!A1246</f>
        <v>Is this reagent used to test patient isolates? (If No, select NA for the remaining questions about this reagent)</v>
      </c>
      <c r="C81" s="27"/>
      <c r="F81" s="29">
        <f t="shared" ref="F81:F86" si="16">C81</f>
        <v>0</v>
      </c>
      <c r="G81" s="18"/>
      <c r="H81" s="450"/>
      <c r="J81" s="250"/>
    </row>
    <row r="82" spans="1:10" ht="27.6" customHeight="1">
      <c r="A82" s="120" t="s">
        <v>1242</v>
      </c>
      <c r="B82" s="37" t="str">
        <f>Language!A1247</f>
        <v>Has an up-to-date SOP been fully implemented?* (If the reagent is in use but there is no SOP, answer "no" to all remaining questions about this reagent)</v>
      </c>
      <c r="C82" s="27"/>
      <c r="F82" s="29">
        <f t="shared" si="16"/>
        <v>0</v>
      </c>
      <c r="G82" s="18" t="str">
        <f>IF(F82="Yes",1,IF(F82="No",0,"'"))</f>
        <v>'</v>
      </c>
      <c r="H82" s="450"/>
    </row>
    <row r="83" spans="1:10">
      <c r="A83" s="120" t="s">
        <v>1243</v>
      </c>
      <c r="B83" s="37" t="str">
        <f>Language!A1248</f>
        <v>Is the SOP readily available** to bench staff?</v>
      </c>
      <c r="C83" s="27"/>
      <c r="F83" s="29">
        <f t="shared" si="16"/>
        <v>0</v>
      </c>
      <c r="G83" s="18" t="str">
        <f t="shared" ref="G83:G86" si="17">IF(F83="Yes",1,IF(F83="No",0,"'"))</f>
        <v>'</v>
      </c>
      <c r="H83" s="450"/>
    </row>
    <row r="84" spans="1:10" ht="27.6" customHeight="1">
      <c r="A84" s="120" t="s">
        <v>1244</v>
      </c>
      <c r="B84" s="37" t="str">
        <f>Language!A1249</f>
        <v>Does the SOP define QC organisms, QC frequency, and expected QC results?</v>
      </c>
      <c r="C84" s="27"/>
      <c r="F84" s="29">
        <f t="shared" si="16"/>
        <v>0</v>
      </c>
      <c r="G84" s="18" t="str">
        <f t="shared" si="17"/>
        <v>'</v>
      </c>
      <c r="H84" s="450"/>
    </row>
    <row r="85" spans="1:10">
      <c r="A85" s="120" t="s">
        <v>1245</v>
      </c>
      <c r="B85" s="37" t="str">
        <f>Language!A1250</f>
        <v>Does the SOP provide stepwise instructions for how to perform the test correctly?</v>
      </c>
      <c r="C85" s="27"/>
      <c r="F85" s="29">
        <f t="shared" si="16"/>
        <v>0</v>
      </c>
      <c r="G85" s="18" t="str">
        <f t="shared" si="17"/>
        <v>'</v>
      </c>
      <c r="H85" s="450"/>
    </row>
    <row r="86" spans="1:10" ht="16.2" thickBot="1">
      <c r="A86" s="120" t="s">
        <v>1246</v>
      </c>
      <c r="B86" s="37" t="str">
        <f>Language!A1251</f>
        <v>Does the SOP provide stepwise instructions for interpreting the test result correctly?</v>
      </c>
      <c r="C86" s="27"/>
      <c r="F86" s="29">
        <f t="shared" si="16"/>
        <v>0</v>
      </c>
      <c r="G86" s="18" t="str">
        <f t="shared" si="17"/>
        <v>'</v>
      </c>
      <c r="H86" s="450"/>
    </row>
    <row r="87" spans="1:10" ht="16.2" thickBot="1">
      <c r="A87" s="166"/>
      <c r="B87" s="78" t="str">
        <f>Language!A1271</f>
        <v>ENTEROBACTERIACEAE, CONVENTIONAL ID METHODS</v>
      </c>
      <c r="C87" s="73" t="str">
        <f>IF((OR(C88="???",C95="???",C102="???",C109="???",C116="???",C123="???",C130="???",C137="???",C144="???")),"???",IF(COUNT(G89:G150)=0,"NA",AVERAGE(G89:G150)))</f>
        <v>???</v>
      </c>
      <c r="H87" s="446"/>
    </row>
    <row r="88" spans="1:10" ht="16.2" thickBot="1">
      <c r="A88" s="10"/>
      <c r="B88" s="45" t="str">
        <f>Language!A1272</f>
        <v>Oxidase</v>
      </c>
      <c r="C88" s="207" t="str">
        <f>IF(C89="No","NA",IF(COUNTBLANK(C90:C94)=5,"???",IF(COUNT(G90:G94)=0,"NA",AVERAGE(G90:G94))))</f>
        <v>???</v>
      </c>
      <c r="H88" s="446"/>
      <c r="J88" s="539"/>
    </row>
    <row r="89" spans="1:10" ht="27.6" customHeight="1">
      <c r="A89" s="120" t="s">
        <v>1247</v>
      </c>
      <c r="B89" s="37" t="str">
        <f>Language!A1246</f>
        <v>Is this reagent used to test patient isolates? (If No, select NA for the remaining questions about this reagent)</v>
      </c>
      <c r="C89" s="27"/>
      <c r="F89" s="29">
        <f t="shared" ref="F89:F94" si="18">C89</f>
        <v>0</v>
      </c>
      <c r="H89" s="459"/>
      <c r="J89" s="250"/>
    </row>
    <row r="90" spans="1:10" ht="27.6" customHeight="1">
      <c r="A90" s="120" t="s">
        <v>1248</v>
      </c>
      <c r="B90" s="37" t="str">
        <f>Language!A1247</f>
        <v>Has an up-to-date SOP been fully implemented?* (If the reagent is in use but there is no SOP, answer "no" to all remaining questions about this reagent)</v>
      </c>
      <c r="C90" s="27"/>
      <c r="F90" s="29">
        <f t="shared" si="18"/>
        <v>0</v>
      </c>
      <c r="G90" s="18" t="str">
        <f>IF(F90="Yes",1,IF(F90="No",0,"'"))</f>
        <v>'</v>
      </c>
      <c r="H90" s="450"/>
    </row>
    <row r="91" spans="1:10">
      <c r="A91" s="120" t="s">
        <v>1249</v>
      </c>
      <c r="B91" s="37" t="str">
        <f>Language!A1248</f>
        <v>Is the SOP readily available** to bench staff?</v>
      </c>
      <c r="C91" s="27"/>
      <c r="F91" s="29">
        <f t="shared" si="18"/>
        <v>0</v>
      </c>
      <c r="G91" s="18" t="str">
        <f t="shared" ref="G91:G94" si="19">IF(F91="Yes",1,IF(F91="No",0,"'"))</f>
        <v>'</v>
      </c>
      <c r="H91" s="450"/>
    </row>
    <row r="92" spans="1:10" ht="27.6" customHeight="1">
      <c r="A92" s="120" t="s">
        <v>1250</v>
      </c>
      <c r="B92" s="37" t="str">
        <f>Language!A1249</f>
        <v>Does the SOP define QC organisms, QC frequency, and expected QC results?</v>
      </c>
      <c r="C92" s="27"/>
      <c r="F92" s="29">
        <f t="shared" si="18"/>
        <v>0</v>
      </c>
      <c r="G92" s="18" t="str">
        <f t="shared" si="19"/>
        <v>'</v>
      </c>
      <c r="H92" s="450"/>
    </row>
    <row r="93" spans="1:10">
      <c r="A93" s="120" t="s">
        <v>1251</v>
      </c>
      <c r="B93" s="37" t="str">
        <f>Language!A1250</f>
        <v>Does the SOP provide stepwise instructions for how to perform the test correctly?</v>
      </c>
      <c r="C93" s="27"/>
      <c r="F93" s="29">
        <f t="shared" si="18"/>
        <v>0</v>
      </c>
      <c r="G93" s="18" t="str">
        <f t="shared" si="19"/>
        <v>'</v>
      </c>
      <c r="H93" s="450"/>
    </row>
    <row r="94" spans="1:10" ht="16.2" thickBot="1">
      <c r="A94" s="120" t="s">
        <v>1252</v>
      </c>
      <c r="B94" s="37" t="str">
        <f>Language!A1251</f>
        <v>Does the SOP provide stepwise instructions for interpreting the test result correctly?</v>
      </c>
      <c r="C94" s="27"/>
      <c r="F94" s="29">
        <f t="shared" si="18"/>
        <v>0</v>
      </c>
      <c r="G94" s="18" t="str">
        <f t="shared" si="19"/>
        <v>'</v>
      </c>
      <c r="H94" s="450"/>
    </row>
    <row r="95" spans="1:10" ht="16.2" thickBot="1">
      <c r="A95" s="10"/>
      <c r="B95" s="45" t="str">
        <f>Language!A1273</f>
        <v>Indole</v>
      </c>
      <c r="C95" s="207" t="str">
        <f>IF(C96="No","NA",IF(COUNTBLANK(C97:C101)=5,"???",IF(COUNT(G97:G101)=0,"NA",AVERAGE(G97:G101))))</f>
        <v>???</v>
      </c>
      <c r="H95" s="446"/>
    </row>
    <row r="96" spans="1:10" ht="27.6" customHeight="1">
      <c r="A96" s="120" t="s">
        <v>1253</v>
      </c>
      <c r="B96" s="37" t="str">
        <f>Language!A1246</f>
        <v>Is this reagent used to test patient isolates? (If No, select NA for the remaining questions about this reagent)</v>
      </c>
      <c r="C96" s="27"/>
      <c r="F96" s="29">
        <f t="shared" ref="F96:F101" si="20">C96</f>
        <v>0</v>
      </c>
      <c r="H96" s="459"/>
      <c r="J96" s="250"/>
    </row>
    <row r="97" spans="1:10" ht="27.6" customHeight="1">
      <c r="A97" s="120" t="s">
        <v>1254</v>
      </c>
      <c r="B97" s="37" t="str">
        <f>Language!A1247</f>
        <v>Has an up-to-date SOP been fully implemented?* (If the reagent is in use but there is no SOP, answer "no" to all remaining questions about this reagent)</v>
      </c>
      <c r="C97" s="27"/>
      <c r="F97" s="29">
        <f t="shared" si="20"/>
        <v>0</v>
      </c>
      <c r="G97" s="18" t="str">
        <f>IF(F97="Yes",1,IF(F97="No",0,"'"))</f>
        <v>'</v>
      </c>
      <c r="H97" s="450"/>
      <c r="I97" s="250"/>
    </row>
    <row r="98" spans="1:10">
      <c r="A98" s="120" t="s">
        <v>1255</v>
      </c>
      <c r="B98" s="37" t="str">
        <f>Language!A1248</f>
        <v>Is the SOP readily available** to bench staff?</v>
      </c>
      <c r="C98" s="27"/>
      <c r="F98" s="29">
        <f t="shared" si="20"/>
        <v>0</v>
      </c>
      <c r="G98" s="18" t="str">
        <f t="shared" ref="G98:G101" si="21">IF(F98="Yes",1,IF(F98="No",0,"'"))</f>
        <v>'</v>
      </c>
      <c r="H98" s="450"/>
    </row>
    <row r="99" spans="1:10" ht="27.6" customHeight="1">
      <c r="A99" s="120" t="s">
        <v>1256</v>
      </c>
      <c r="B99" s="37" t="str">
        <f>Language!A1249</f>
        <v>Does the SOP define QC organisms, QC frequency, and expected QC results?</v>
      </c>
      <c r="C99" s="27"/>
      <c r="F99" s="29">
        <f t="shared" si="20"/>
        <v>0</v>
      </c>
      <c r="G99" s="18" t="str">
        <f t="shared" si="21"/>
        <v>'</v>
      </c>
      <c r="H99" s="450"/>
    </row>
    <row r="100" spans="1:10">
      <c r="A100" s="120" t="s">
        <v>1257</v>
      </c>
      <c r="B100" s="37" t="str">
        <f>Language!A1250</f>
        <v>Does the SOP provide stepwise instructions for how to perform the test correctly?</v>
      </c>
      <c r="C100" s="27"/>
      <c r="F100" s="29">
        <f t="shared" si="20"/>
        <v>0</v>
      </c>
      <c r="G100" s="18" t="str">
        <f t="shared" si="21"/>
        <v>'</v>
      </c>
      <c r="H100" s="450"/>
    </row>
    <row r="101" spans="1:10" ht="16.2" thickBot="1">
      <c r="A101" s="120" t="s">
        <v>1258</v>
      </c>
      <c r="B101" s="37" t="str">
        <f>Language!A1251</f>
        <v>Does the SOP provide stepwise instructions for interpreting the test result correctly?</v>
      </c>
      <c r="C101" s="27"/>
      <c r="F101" s="29">
        <f t="shared" si="20"/>
        <v>0</v>
      </c>
      <c r="G101" s="18" t="str">
        <f t="shared" si="21"/>
        <v>'</v>
      </c>
      <c r="H101" s="450"/>
    </row>
    <row r="102" spans="1:10" ht="16.2" thickBot="1">
      <c r="A102" s="10"/>
      <c r="B102" s="45" t="str">
        <f>Language!A1274</f>
        <v>Methyl Red</v>
      </c>
      <c r="C102" s="207" t="str">
        <f>IF(C103="No","NA",IF(COUNTBLANK(C104:C108)=5,"???",IF(COUNT(G104:G108)=0,"NA",AVERAGE(G104:G108))))</f>
        <v>???</v>
      </c>
      <c r="H102" s="446"/>
    </row>
    <row r="103" spans="1:10" ht="27.6" customHeight="1">
      <c r="A103" s="206" t="s">
        <v>1259</v>
      </c>
      <c r="B103" s="37" t="str">
        <f>Language!A1246</f>
        <v>Is this reagent used to test patient isolates? (If No, select NA for the remaining questions about this reagent)</v>
      </c>
      <c r="C103" s="27"/>
      <c r="F103" s="29">
        <f t="shared" ref="F103:F108" si="22">C103</f>
        <v>0</v>
      </c>
      <c r="G103" s="18"/>
      <c r="H103" s="450"/>
      <c r="J103" s="250"/>
    </row>
    <row r="104" spans="1:10" ht="27.6" customHeight="1">
      <c r="A104" s="206" t="s">
        <v>1260</v>
      </c>
      <c r="B104" s="37" t="str">
        <f>Language!A1276</f>
        <v>Has an up-to-date SOP been fully implemented?* (If the reagent is in use but there is no SOP, answer "no" to all remaining questions about this reagent)</v>
      </c>
      <c r="C104" s="27"/>
      <c r="F104" s="29">
        <f t="shared" si="22"/>
        <v>0</v>
      </c>
      <c r="G104" s="18" t="str">
        <f>IF(F104="Yes",1,IF(F104="No",0,"'"))</f>
        <v>'</v>
      </c>
      <c r="H104" s="450"/>
    </row>
    <row r="105" spans="1:10">
      <c r="A105" s="206" t="s">
        <v>1261</v>
      </c>
      <c r="B105" s="37" t="str">
        <f>Language!A1277</f>
        <v>Is the SOP readily available** to bench staff?</v>
      </c>
      <c r="C105" s="27"/>
      <c r="F105" s="29">
        <f t="shared" si="22"/>
        <v>0</v>
      </c>
      <c r="G105" s="18" t="str">
        <f t="shared" ref="G105:G108" si="23">IF(F105="Yes",1,IF(F105="No",0,"'"))</f>
        <v>'</v>
      </c>
      <c r="H105" s="450"/>
    </row>
    <row r="106" spans="1:10" ht="27.6" customHeight="1">
      <c r="A106" s="206" t="s">
        <v>1262</v>
      </c>
      <c r="B106" s="37" t="str">
        <f>Language!A1278</f>
        <v>Does the SOP define QC organisms, QC frequency, and expected QC results?</v>
      </c>
      <c r="C106" s="27"/>
      <c r="F106" s="29">
        <f t="shared" si="22"/>
        <v>0</v>
      </c>
      <c r="G106" s="18" t="str">
        <f t="shared" si="23"/>
        <v>'</v>
      </c>
      <c r="H106" s="450"/>
    </row>
    <row r="107" spans="1:10">
      <c r="A107" s="206" t="s">
        <v>1263</v>
      </c>
      <c r="B107" s="37" t="str">
        <f>Language!A1279</f>
        <v>Does the SOP provide stepwise instructions for inoculation and incubation?</v>
      </c>
      <c r="C107" s="27"/>
      <c r="F107" s="29">
        <f t="shared" si="22"/>
        <v>0</v>
      </c>
      <c r="G107" s="18" t="str">
        <f t="shared" si="23"/>
        <v>'</v>
      </c>
      <c r="H107" s="450"/>
    </row>
    <row r="108" spans="1:10" ht="16.2" thickBot="1">
      <c r="A108" s="206" t="s">
        <v>1264</v>
      </c>
      <c r="B108" s="37" t="str">
        <f>Language!A1280</f>
        <v>Does the SOP provide stepwise instructions for reading and interpretation?</v>
      </c>
      <c r="C108" s="27"/>
      <c r="F108" s="29">
        <f t="shared" si="22"/>
        <v>0</v>
      </c>
      <c r="G108" s="18" t="str">
        <f t="shared" si="23"/>
        <v>'</v>
      </c>
      <c r="H108" s="450"/>
    </row>
    <row r="109" spans="1:10" ht="16.2" thickBot="1">
      <c r="A109" s="10"/>
      <c r="B109" s="45" t="str">
        <f>Language!A1281</f>
        <v>Voges-Proskauer</v>
      </c>
      <c r="C109" s="207" t="str">
        <f>IF(C110="No","NA",IF(COUNTBLANK(C111:C115)=5,"???",IF(COUNT(G111:G115)=0,"NA",AVERAGE(G111:G115))))</f>
        <v>???</v>
      </c>
      <c r="H109" s="446"/>
    </row>
    <row r="110" spans="1:10" ht="27.6" customHeight="1">
      <c r="A110" s="120" t="s">
        <v>1265</v>
      </c>
      <c r="B110" s="37" t="str">
        <f>Language!A1246</f>
        <v>Is this reagent used to test patient isolates? (If No, select NA for the remaining questions about this reagent)</v>
      </c>
      <c r="C110" s="27"/>
      <c r="F110" s="29">
        <f t="shared" ref="F110:F115" si="24">C110</f>
        <v>0</v>
      </c>
      <c r="G110" s="18"/>
      <c r="H110" s="450"/>
      <c r="J110" s="250"/>
    </row>
    <row r="111" spans="1:10" ht="27.6" customHeight="1">
      <c r="A111" s="120" t="s">
        <v>1266</v>
      </c>
      <c r="B111" s="37" t="str">
        <f>Language!A1276</f>
        <v>Has an up-to-date SOP been fully implemented?* (If the reagent is in use but there is no SOP, answer "no" to all remaining questions about this reagent)</v>
      </c>
      <c r="C111" s="27"/>
      <c r="F111" s="29">
        <f t="shared" si="24"/>
        <v>0</v>
      </c>
      <c r="G111" s="18" t="str">
        <f>IF(F111="Yes",1,IF(F111="No",0,"'"))</f>
        <v>'</v>
      </c>
      <c r="H111" s="450"/>
    </row>
    <row r="112" spans="1:10">
      <c r="A112" s="120" t="s">
        <v>1267</v>
      </c>
      <c r="B112" s="37" t="str">
        <f>Language!A1277</f>
        <v>Is the SOP readily available** to bench staff?</v>
      </c>
      <c r="C112" s="27"/>
      <c r="F112" s="29">
        <f t="shared" si="24"/>
        <v>0</v>
      </c>
      <c r="G112" s="18" t="str">
        <f t="shared" ref="G112:G115" si="25">IF(F112="Yes",1,IF(F112="No",0,"'"))</f>
        <v>'</v>
      </c>
      <c r="H112" s="450"/>
    </row>
    <row r="113" spans="1:10" ht="27.6" customHeight="1">
      <c r="A113" s="120" t="s">
        <v>1268</v>
      </c>
      <c r="B113" s="37" t="str">
        <f>Language!A1278</f>
        <v>Does the SOP define QC organisms, QC frequency, and expected QC results?</v>
      </c>
      <c r="C113" s="27"/>
      <c r="F113" s="29">
        <f t="shared" si="24"/>
        <v>0</v>
      </c>
      <c r="G113" s="18" t="str">
        <f t="shared" si="25"/>
        <v>'</v>
      </c>
      <c r="H113" s="450"/>
    </row>
    <row r="114" spans="1:10">
      <c r="A114" s="120" t="s">
        <v>1269</v>
      </c>
      <c r="B114" s="37" t="str">
        <f>Language!A1279</f>
        <v>Does the SOP provide stepwise instructions for inoculation and incubation?</v>
      </c>
      <c r="C114" s="27"/>
      <c r="F114" s="29">
        <f t="shared" si="24"/>
        <v>0</v>
      </c>
      <c r="G114" s="18" t="str">
        <f t="shared" si="25"/>
        <v>'</v>
      </c>
      <c r="H114" s="450"/>
    </row>
    <row r="115" spans="1:10" ht="16.2" thickBot="1">
      <c r="A115" s="120" t="s">
        <v>1270</v>
      </c>
      <c r="B115" s="37" t="str">
        <f>Language!A1280</f>
        <v>Does the SOP provide stepwise instructions for reading and interpretation?</v>
      </c>
      <c r="C115" s="27"/>
      <c r="F115" s="29">
        <f t="shared" si="24"/>
        <v>0</v>
      </c>
      <c r="G115" s="18" t="str">
        <f t="shared" si="25"/>
        <v>'</v>
      </c>
      <c r="H115" s="450"/>
    </row>
    <row r="116" spans="1:10" ht="16.2" thickBot="1">
      <c r="A116" s="10"/>
      <c r="B116" s="45" t="str">
        <f>Language!A1282</f>
        <v>Citrate</v>
      </c>
      <c r="C116" s="207" t="str">
        <f>IF(C117="No","NA",IF(COUNTBLANK(C118:C122)=5,"???",IF(COUNT(G118:G122)=0,"NA",AVERAGE(G118:G122))))</f>
        <v>???</v>
      </c>
      <c r="H116" s="446"/>
    </row>
    <row r="117" spans="1:10" ht="27.6" customHeight="1">
      <c r="A117" s="120" t="s">
        <v>1271</v>
      </c>
      <c r="B117" s="37" t="str">
        <f>Language!A1246</f>
        <v>Is this reagent used to test patient isolates? (If No, select NA for the remaining questions about this reagent)</v>
      </c>
      <c r="C117" s="27"/>
      <c r="F117" s="29">
        <f t="shared" ref="F117:F122" si="26">C117</f>
        <v>0</v>
      </c>
      <c r="G117" s="18"/>
      <c r="H117" s="450"/>
      <c r="J117" s="250"/>
    </row>
    <row r="118" spans="1:10" ht="27.6" customHeight="1">
      <c r="A118" s="120" t="s">
        <v>1272</v>
      </c>
      <c r="B118" s="37" t="str">
        <f>Language!A1276</f>
        <v>Has an up-to-date SOP been fully implemented?* (If the reagent is in use but there is no SOP, answer "no" to all remaining questions about this reagent)</v>
      </c>
      <c r="C118" s="27"/>
      <c r="F118" s="29">
        <f t="shared" si="26"/>
        <v>0</v>
      </c>
      <c r="G118" s="18" t="str">
        <f>IF(F118="Yes",1,IF(F118="No",0,"'"))</f>
        <v>'</v>
      </c>
      <c r="H118" s="450"/>
    </row>
    <row r="119" spans="1:10">
      <c r="A119" s="120" t="s">
        <v>1273</v>
      </c>
      <c r="B119" s="37" t="str">
        <f>Language!A1277</f>
        <v>Is the SOP readily available** to bench staff?</v>
      </c>
      <c r="C119" s="27"/>
      <c r="F119" s="29">
        <f t="shared" si="26"/>
        <v>0</v>
      </c>
      <c r="G119" s="18" t="str">
        <f t="shared" ref="G119:G122" si="27">IF(F119="Yes",1,IF(F119="No",0,"'"))</f>
        <v>'</v>
      </c>
      <c r="H119" s="450"/>
    </row>
    <row r="120" spans="1:10" ht="27.6" customHeight="1">
      <c r="A120" s="120" t="s">
        <v>1274</v>
      </c>
      <c r="B120" s="37" t="str">
        <f>Language!A1278</f>
        <v>Does the SOP define QC organisms, QC frequency, and expected QC results?</v>
      </c>
      <c r="C120" s="27"/>
      <c r="F120" s="29">
        <f t="shared" si="26"/>
        <v>0</v>
      </c>
      <c r="G120" s="18" t="str">
        <f t="shared" si="27"/>
        <v>'</v>
      </c>
      <c r="H120" s="450"/>
    </row>
    <row r="121" spans="1:10">
      <c r="A121" s="120" t="s">
        <v>1275</v>
      </c>
      <c r="B121" s="37" t="str">
        <f>Language!A1279</f>
        <v>Does the SOP provide stepwise instructions for inoculation and incubation?</v>
      </c>
      <c r="C121" s="27"/>
      <c r="F121" s="29">
        <f t="shared" si="26"/>
        <v>0</v>
      </c>
      <c r="G121" s="18" t="str">
        <f t="shared" si="27"/>
        <v>'</v>
      </c>
      <c r="H121" s="450"/>
    </row>
    <row r="122" spans="1:10" ht="16.2" thickBot="1">
      <c r="A122" s="120" t="s">
        <v>1276</v>
      </c>
      <c r="B122" s="37" t="str">
        <f>Language!A1280</f>
        <v>Does the SOP provide stepwise instructions for reading and interpretation?</v>
      </c>
      <c r="C122" s="27"/>
      <c r="F122" s="29">
        <f t="shared" si="26"/>
        <v>0</v>
      </c>
      <c r="G122" s="18" t="str">
        <f t="shared" si="27"/>
        <v>'</v>
      </c>
      <c r="H122" s="450"/>
    </row>
    <row r="123" spans="1:10" ht="16.2" thickBot="1">
      <c r="A123" s="10"/>
      <c r="B123" s="45" t="str">
        <f>Language!A1283</f>
        <v>Triple Sugar Iron (TSI) or Kligler Iron Agar (KIA)</v>
      </c>
      <c r="C123" s="207" t="str">
        <f>IF(C124="NO","NA",IF(COUNTBLANK(C125:C129)=5,"???",IF(COUNT(G125:G129)=0,"NA",AVERAGE(G125:G129))))</f>
        <v>???</v>
      </c>
      <c r="H123" s="446"/>
    </row>
    <row r="124" spans="1:10" ht="27.6" customHeight="1">
      <c r="A124" s="120" t="s">
        <v>1277</v>
      </c>
      <c r="B124" s="37" t="str">
        <f>Language!A1246</f>
        <v>Is this reagent used to test patient isolates? (If No, select NA for the remaining questions about this reagent)</v>
      </c>
      <c r="C124" s="27"/>
      <c r="F124" s="29">
        <f t="shared" ref="F124:F129" si="28">C124</f>
        <v>0</v>
      </c>
      <c r="G124" s="18"/>
      <c r="H124" s="450"/>
      <c r="J124" s="250"/>
    </row>
    <row r="125" spans="1:10" ht="27.6" customHeight="1">
      <c r="A125" s="120" t="s">
        <v>1278</v>
      </c>
      <c r="B125" s="37" t="str">
        <f>Language!A1276</f>
        <v>Has an up-to-date SOP been fully implemented?* (If the reagent is in use but there is no SOP, answer "no" to all remaining questions about this reagent)</v>
      </c>
      <c r="C125" s="27"/>
      <c r="F125" s="29">
        <f t="shared" si="28"/>
        <v>0</v>
      </c>
      <c r="G125" s="18" t="str">
        <f>IF(F125="Yes",1,IF(F125="No",0,"'"))</f>
        <v>'</v>
      </c>
      <c r="H125" s="450"/>
    </row>
    <row r="126" spans="1:10">
      <c r="A126" s="120" t="s">
        <v>1279</v>
      </c>
      <c r="B126" s="37" t="str">
        <f>Language!A1277</f>
        <v>Is the SOP readily available** to bench staff?</v>
      </c>
      <c r="C126" s="27"/>
      <c r="F126" s="29">
        <f t="shared" si="28"/>
        <v>0</v>
      </c>
      <c r="G126" s="18" t="str">
        <f t="shared" ref="G126:G129" si="29">IF(F126="Yes",1,IF(F126="No",0,"'"))</f>
        <v>'</v>
      </c>
      <c r="H126" s="450"/>
    </row>
    <row r="127" spans="1:10" ht="27.6" customHeight="1">
      <c r="A127" s="120" t="s">
        <v>1280</v>
      </c>
      <c r="B127" s="37" t="str">
        <f>Language!A1278</f>
        <v>Does the SOP define QC organisms, QC frequency, and expected QC results?</v>
      </c>
      <c r="C127" s="27"/>
      <c r="F127" s="29">
        <f t="shared" si="28"/>
        <v>0</v>
      </c>
      <c r="G127" s="18" t="str">
        <f t="shared" si="29"/>
        <v>'</v>
      </c>
      <c r="H127" s="450"/>
    </row>
    <row r="128" spans="1:10">
      <c r="A128" s="120" t="s">
        <v>1281</v>
      </c>
      <c r="B128" s="37" t="str">
        <f>Language!A1279</f>
        <v>Does the SOP provide stepwise instructions for inoculation and incubation?</v>
      </c>
      <c r="C128" s="27"/>
      <c r="F128" s="29">
        <f t="shared" si="28"/>
        <v>0</v>
      </c>
      <c r="G128" s="18" t="str">
        <f t="shared" si="29"/>
        <v>'</v>
      </c>
      <c r="H128" s="450"/>
    </row>
    <row r="129" spans="1:10" ht="16.2" thickBot="1">
      <c r="A129" s="120" t="s">
        <v>1282</v>
      </c>
      <c r="B129" s="37" t="str">
        <f>Language!A1280</f>
        <v>Does the SOP provide stepwise instructions for reading and interpretation?</v>
      </c>
      <c r="C129" s="27"/>
      <c r="F129" s="29">
        <f t="shared" si="28"/>
        <v>0</v>
      </c>
      <c r="G129" s="18" t="str">
        <f t="shared" si="29"/>
        <v>'</v>
      </c>
      <c r="H129" s="450"/>
    </row>
    <row r="130" spans="1:10" ht="16.2" thickBot="1">
      <c r="A130" s="10"/>
      <c r="B130" s="45" t="str">
        <f>Language!A1284</f>
        <v>Urease</v>
      </c>
      <c r="C130" s="207" t="str">
        <f>IF(C131="NO","NA",IF(COUNTBLANK(C132:C136)=5,"???",IF(COUNT(G132:G136)=0,"NA",AVERAGE(G132:G136))))</f>
        <v>???</v>
      </c>
      <c r="H130" s="446"/>
    </row>
    <row r="131" spans="1:10" ht="27.6" customHeight="1">
      <c r="A131" s="120" t="s">
        <v>1283</v>
      </c>
      <c r="B131" s="37" t="str">
        <f>Language!A1246</f>
        <v>Is this reagent used to test patient isolates? (If No, select NA for the remaining questions about this reagent)</v>
      </c>
      <c r="C131" s="27"/>
      <c r="F131" s="29">
        <f t="shared" ref="F131:F136" si="30">C131</f>
        <v>0</v>
      </c>
      <c r="G131" s="18"/>
      <c r="H131" s="459"/>
      <c r="J131" s="250"/>
    </row>
    <row r="132" spans="1:10" ht="27.6" customHeight="1">
      <c r="A132" s="120" t="s">
        <v>1284</v>
      </c>
      <c r="B132" s="37" t="str">
        <f>Language!A1276</f>
        <v>Has an up-to-date SOP been fully implemented?* (If the reagent is in use but there is no SOP, answer "no" to all remaining questions about this reagent)</v>
      </c>
      <c r="C132" s="27"/>
      <c r="F132" s="29">
        <f t="shared" si="30"/>
        <v>0</v>
      </c>
      <c r="G132" s="18" t="str">
        <f>IF(F132="Yes",1,IF(F132="No",0,"'"))</f>
        <v>'</v>
      </c>
      <c r="H132" s="450"/>
    </row>
    <row r="133" spans="1:10">
      <c r="A133" s="120" t="s">
        <v>1285</v>
      </c>
      <c r="B133" s="37" t="str">
        <f>Language!A1277</f>
        <v>Is the SOP readily available** to bench staff?</v>
      </c>
      <c r="C133" s="27"/>
      <c r="F133" s="29">
        <f t="shared" si="30"/>
        <v>0</v>
      </c>
      <c r="G133" s="18" t="str">
        <f t="shared" ref="G133:G136" si="31">IF(F133="Yes",1,IF(F133="No",0,"'"))</f>
        <v>'</v>
      </c>
      <c r="H133" s="450"/>
    </row>
    <row r="134" spans="1:10" ht="27.6" customHeight="1">
      <c r="A134" s="120" t="s">
        <v>1286</v>
      </c>
      <c r="B134" s="37" t="str">
        <f>Language!A1278</f>
        <v>Does the SOP define QC organisms, QC frequency, and expected QC results?</v>
      </c>
      <c r="C134" s="27"/>
      <c r="F134" s="29">
        <f t="shared" si="30"/>
        <v>0</v>
      </c>
      <c r="G134" s="18" t="str">
        <f t="shared" si="31"/>
        <v>'</v>
      </c>
      <c r="H134" s="450"/>
    </row>
    <row r="135" spans="1:10">
      <c r="A135" s="120" t="s">
        <v>1287</v>
      </c>
      <c r="B135" s="37" t="str">
        <f>Language!A1279</f>
        <v>Does the SOP provide stepwise instructions for inoculation and incubation?</v>
      </c>
      <c r="C135" s="27"/>
      <c r="F135" s="29">
        <f t="shared" si="30"/>
        <v>0</v>
      </c>
      <c r="G135" s="18" t="str">
        <f t="shared" si="31"/>
        <v>'</v>
      </c>
      <c r="H135" s="450"/>
    </row>
    <row r="136" spans="1:10" ht="16.2" thickBot="1">
      <c r="A136" s="120" t="s">
        <v>1288</v>
      </c>
      <c r="B136" s="37" t="str">
        <f>Language!A1280</f>
        <v>Does the SOP provide stepwise instructions for reading and interpretation?</v>
      </c>
      <c r="C136" s="27"/>
      <c r="F136" s="29">
        <f t="shared" si="30"/>
        <v>0</v>
      </c>
      <c r="G136" s="18" t="str">
        <f t="shared" si="31"/>
        <v>'</v>
      </c>
      <c r="H136" s="450"/>
    </row>
    <row r="137" spans="1:10" ht="16.2" thickBot="1">
      <c r="A137" s="10"/>
      <c r="B137" s="45" t="str">
        <f>Language!A1285</f>
        <v>Motility</v>
      </c>
      <c r="C137" s="207" t="str">
        <f>IF(C138="NO","NA",IF(COUNTBLANK(C139:C143)=5,"???",IF(COUNT(G139:G143)=0,"NA",AVERAGE(G139:G143))))</f>
        <v>???</v>
      </c>
      <c r="H137" s="446"/>
    </row>
    <row r="138" spans="1:10" ht="27.6" customHeight="1">
      <c r="A138" s="120" t="s">
        <v>1289</v>
      </c>
      <c r="B138" s="37" t="str">
        <f>Language!A1246</f>
        <v>Is this reagent used to test patient isolates? (If No, select NA for the remaining questions about this reagent)</v>
      </c>
      <c r="C138" s="27"/>
      <c r="F138" s="29">
        <f t="shared" ref="F138:F143" si="32">C138</f>
        <v>0</v>
      </c>
      <c r="G138" s="18"/>
      <c r="H138" s="459"/>
      <c r="J138" s="250"/>
    </row>
    <row r="139" spans="1:10" ht="27.6" customHeight="1">
      <c r="A139" s="120" t="s">
        <v>1290</v>
      </c>
      <c r="B139" s="37" t="str">
        <f>Language!A1276</f>
        <v>Has an up-to-date SOP been fully implemented?* (If the reagent is in use but there is no SOP, answer "no" to all remaining questions about this reagent)</v>
      </c>
      <c r="C139" s="27"/>
      <c r="F139" s="29">
        <f t="shared" si="32"/>
        <v>0</v>
      </c>
      <c r="G139" s="18" t="str">
        <f>IF(F139="Yes",1,IF(F139="No",0,"'"))</f>
        <v>'</v>
      </c>
      <c r="H139" s="450"/>
    </row>
    <row r="140" spans="1:10">
      <c r="A140" s="120" t="s">
        <v>1291</v>
      </c>
      <c r="B140" s="37" t="str">
        <f>Language!A1277</f>
        <v>Is the SOP readily available** to bench staff?</v>
      </c>
      <c r="C140" s="27"/>
      <c r="F140" s="29">
        <f t="shared" si="32"/>
        <v>0</v>
      </c>
      <c r="G140" s="18" t="str">
        <f t="shared" ref="G140:G143" si="33">IF(F140="Yes",1,IF(F140="No",0,"'"))</f>
        <v>'</v>
      </c>
      <c r="H140" s="450"/>
    </row>
    <row r="141" spans="1:10" ht="27.6" customHeight="1">
      <c r="A141" s="120" t="s">
        <v>1292</v>
      </c>
      <c r="B141" s="37" t="str">
        <f>Language!A1278</f>
        <v>Does the SOP define QC organisms, QC frequency, and expected QC results?</v>
      </c>
      <c r="C141" s="27"/>
      <c r="F141" s="29">
        <f t="shared" si="32"/>
        <v>0</v>
      </c>
      <c r="G141" s="18" t="str">
        <f t="shared" si="33"/>
        <v>'</v>
      </c>
      <c r="H141" s="450"/>
    </row>
    <row r="142" spans="1:10">
      <c r="A142" s="120" t="s">
        <v>1293</v>
      </c>
      <c r="B142" s="37" t="str">
        <f>Language!A1279</f>
        <v>Does the SOP provide stepwise instructions for inoculation and incubation?</v>
      </c>
      <c r="C142" s="27"/>
      <c r="F142" s="29">
        <f t="shared" si="32"/>
        <v>0</v>
      </c>
      <c r="G142" s="18" t="str">
        <f t="shared" si="33"/>
        <v>'</v>
      </c>
      <c r="H142" s="450"/>
    </row>
    <row r="143" spans="1:10" ht="16.2" thickBot="1">
      <c r="A143" s="120" t="s">
        <v>1294</v>
      </c>
      <c r="B143" s="37" t="str">
        <f>Language!A1280</f>
        <v>Does the SOP provide stepwise instructions for reading and interpretation?</v>
      </c>
      <c r="C143" s="27"/>
      <c r="F143" s="29">
        <f t="shared" si="32"/>
        <v>0</v>
      </c>
      <c r="G143" s="18" t="str">
        <f t="shared" si="33"/>
        <v>'</v>
      </c>
      <c r="H143" s="450"/>
    </row>
    <row r="144" spans="1:10" ht="16.2" thickBot="1">
      <c r="A144" s="10"/>
      <c r="B144" s="45" t="str">
        <f>Language!A1286</f>
        <v>Lysine Iron Agar (LIA) or Lysine Decarboxylase (LDC)</v>
      </c>
      <c r="C144" s="207" t="str">
        <f>IF(F145="No","NA",IF(COUNTBLANK(C146:C150)=5,"???",IF(COUNT(G146:G150)=0,"NA",AVERAGE(G146:G150))))</f>
        <v>???</v>
      </c>
      <c r="H144" s="446"/>
    </row>
    <row r="145" spans="1:10" ht="27.6" customHeight="1">
      <c r="A145" s="120" t="s">
        <v>1295</v>
      </c>
      <c r="B145" s="37" t="str">
        <f>Language!A1246</f>
        <v>Is this reagent used to test patient isolates? (If No, select NA for the remaining questions about this reagent)</v>
      </c>
      <c r="C145" s="27"/>
      <c r="F145" s="29">
        <f t="shared" ref="F145:F150" si="34">C145</f>
        <v>0</v>
      </c>
      <c r="G145" s="18"/>
      <c r="H145" s="459"/>
      <c r="J145" s="250"/>
    </row>
    <row r="146" spans="1:10" ht="27.6" customHeight="1">
      <c r="A146" s="120" t="s">
        <v>1296</v>
      </c>
      <c r="B146" s="37" t="str">
        <f>Language!A1276</f>
        <v>Has an up-to-date SOP been fully implemented?* (If the reagent is in use but there is no SOP, answer "no" to all remaining questions about this reagent)</v>
      </c>
      <c r="C146" s="27"/>
      <c r="F146" s="29">
        <f t="shared" si="34"/>
        <v>0</v>
      </c>
      <c r="G146" s="18" t="str">
        <f>IF(F146="Yes",1,IF(F146="No",0,"'"))</f>
        <v>'</v>
      </c>
      <c r="H146" s="450"/>
    </row>
    <row r="147" spans="1:10">
      <c r="A147" s="120" t="s">
        <v>1297</v>
      </c>
      <c r="B147" s="37" t="str">
        <f>Language!A1277</f>
        <v>Is the SOP readily available** to bench staff?</v>
      </c>
      <c r="C147" s="27"/>
      <c r="F147" s="29">
        <f t="shared" si="34"/>
        <v>0</v>
      </c>
      <c r="G147" s="18" t="str">
        <f t="shared" ref="G147:G150" si="35">IF(F147="Yes",1,IF(F147="No",0,"'"))</f>
        <v>'</v>
      </c>
      <c r="H147" s="450"/>
    </row>
    <row r="148" spans="1:10" ht="27.6" customHeight="1">
      <c r="A148" s="120" t="s">
        <v>1298</v>
      </c>
      <c r="B148" s="37" t="str">
        <f>Language!A1278</f>
        <v>Does the SOP define QC organisms, QC frequency, and expected QC results?</v>
      </c>
      <c r="C148" s="27"/>
      <c r="F148" s="29">
        <f t="shared" si="34"/>
        <v>0</v>
      </c>
      <c r="G148" s="18" t="str">
        <f t="shared" si="35"/>
        <v>'</v>
      </c>
      <c r="H148" s="450"/>
    </row>
    <row r="149" spans="1:10">
      <c r="A149" s="120" t="s">
        <v>1299</v>
      </c>
      <c r="B149" s="37" t="str">
        <f>Language!A1279</f>
        <v>Does the SOP provide stepwise instructions for inoculation and incubation?</v>
      </c>
      <c r="C149" s="27"/>
      <c r="F149" s="29">
        <f t="shared" si="34"/>
        <v>0</v>
      </c>
      <c r="G149" s="18" t="str">
        <f t="shared" si="35"/>
        <v>'</v>
      </c>
      <c r="H149" s="450"/>
    </row>
    <row r="150" spans="1:10">
      <c r="A150" s="120" t="s">
        <v>1300</v>
      </c>
      <c r="B150" s="37" t="str">
        <f>Language!A1280</f>
        <v>Does the SOP provide stepwise instructions for reading and interpretation?</v>
      </c>
      <c r="C150" s="27"/>
      <c r="F150" s="29">
        <f t="shared" si="34"/>
        <v>0</v>
      </c>
      <c r="G150" s="18" t="str">
        <f t="shared" si="35"/>
        <v>'</v>
      </c>
      <c r="H150" s="450"/>
    </row>
    <row r="151" spans="1:10" ht="16.2" thickBot="1">
      <c r="A151" s="10"/>
      <c r="B151" s="20"/>
      <c r="C151" s="20"/>
      <c r="F151" s="29"/>
      <c r="G151" s="18"/>
      <c r="H151" s="175"/>
    </row>
    <row r="152" spans="1:10" ht="16.2" thickBot="1">
      <c r="A152" s="166"/>
      <c r="B152" s="78" t="str">
        <f>Language!A1287</f>
        <v>SHIGELLA/SALMONELLA SEROLOGY</v>
      </c>
      <c r="C152" s="73" t="str">
        <f>IF((OR(C153="???",C160="???")),"???",IF(COUNT(G154:G166)=0,"NA",AVERAGE(G154:G166)))</f>
        <v>???</v>
      </c>
      <c r="F152" s="29"/>
      <c r="G152" s="18"/>
      <c r="H152" s="446"/>
    </row>
    <row r="153" spans="1:10" ht="16.2" thickBot="1">
      <c r="A153" s="10"/>
      <c r="B153" s="45" t="str">
        <f>Language!A1288</f>
        <v>Shigella serology</v>
      </c>
      <c r="C153" s="207" t="str">
        <f>IF(C154="NO","NA",IF(COUNTBLANK(C155:C159)=5,"???",IF(COUNT(G155:G159)=0,"NA",AVERAGE(G155:G159))))</f>
        <v>???</v>
      </c>
      <c r="H153" s="446"/>
      <c r="I153" s="539"/>
    </row>
    <row r="154" spans="1:10" ht="27.6" customHeight="1">
      <c r="A154" s="120" t="s">
        <v>1301</v>
      </c>
      <c r="B154" s="37" t="str">
        <f>Language!A1246</f>
        <v>Is this reagent used to test patient isolates? (If No, select NA for the remaining questions about this reagent)</v>
      </c>
      <c r="C154" s="27"/>
      <c r="F154" s="29">
        <f t="shared" ref="F154:F159" si="36">C154</f>
        <v>0</v>
      </c>
      <c r="G154" s="18"/>
      <c r="H154" s="450"/>
      <c r="J154" s="250"/>
    </row>
    <row r="155" spans="1:10" ht="27.6" customHeight="1">
      <c r="A155" s="120" t="s">
        <v>1302</v>
      </c>
      <c r="B155" s="37" t="str">
        <f>Language!A1247</f>
        <v>Has an up-to-date SOP been fully implemented?* (If the reagent is in use but there is no SOP, answer "no" to all remaining questions about this reagent)</v>
      </c>
      <c r="C155" s="27"/>
      <c r="F155" s="29">
        <f t="shared" si="36"/>
        <v>0</v>
      </c>
      <c r="G155" s="18" t="str">
        <f>IF(F155="Yes",1,IF(F155="No",0,"'"))</f>
        <v>'</v>
      </c>
      <c r="H155" s="450"/>
    </row>
    <row r="156" spans="1:10">
      <c r="A156" s="120" t="s">
        <v>1303</v>
      </c>
      <c r="B156" s="37" t="str">
        <f>Language!A1248</f>
        <v>Is the SOP readily available** to bench staff?</v>
      </c>
      <c r="C156" s="27"/>
      <c r="F156" s="29">
        <f t="shared" si="36"/>
        <v>0</v>
      </c>
      <c r="G156" s="18" t="str">
        <f t="shared" ref="G156:G159" si="37">IF(F156="Yes",1,IF(F156="No",0,"'"))</f>
        <v>'</v>
      </c>
      <c r="H156" s="450"/>
    </row>
    <row r="157" spans="1:10" ht="27.6" customHeight="1">
      <c r="A157" s="120" t="s">
        <v>1304</v>
      </c>
      <c r="B157" s="37" t="str">
        <f>Language!A1249</f>
        <v>Does the SOP define QC organisms, QC frequency, and expected QC results?</v>
      </c>
      <c r="C157" s="27"/>
      <c r="F157" s="29">
        <f t="shared" si="36"/>
        <v>0</v>
      </c>
      <c r="G157" s="18" t="str">
        <f t="shared" si="37"/>
        <v>'</v>
      </c>
      <c r="H157" s="450"/>
    </row>
    <row r="158" spans="1:10">
      <c r="A158" s="120" t="s">
        <v>1305</v>
      </c>
      <c r="B158" s="37" t="str">
        <f>Language!A1250</f>
        <v>Does the SOP provide stepwise instructions for how to perform the test correctly?</v>
      </c>
      <c r="C158" s="27"/>
      <c r="F158" s="29">
        <f t="shared" si="36"/>
        <v>0</v>
      </c>
      <c r="G158" s="18" t="str">
        <f t="shared" si="37"/>
        <v>'</v>
      </c>
      <c r="H158" s="450"/>
    </row>
    <row r="159" spans="1:10" ht="16.2" thickBot="1">
      <c r="A159" s="120" t="s">
        <v>1306</v>
      </c>
      <c r="B159" s="37" t="str">
        <f>Language!A1251</f>
        <v>Does the SOP provide stepwise instructions for interpreting the test result correctly?</v>
      </c>
      <c r="C159" s="27"/>
      <c r="F159" s="29">
        <f t="shared" si="36"/>
        <v>0</v>
      </c>
      <c r="G159" s="18" t="str">
        <f t="shared" si="37"/>
        <v>'</v>
      </c>
      <c r="H159" s="450"/>
    </row>
    <row r="160" spans="1:10" ht="16.2" thickBot="1">
      <c r="A160" s="10"/>
      <c r="B160" s="45" t="str">
        <f>Language!A1289</f>
        <v>Salmonella serology</v>
      </c>
      <c r="C160" s="207" t="str">
        <f>IF(C161="NO","NA",IF(COUNTBLANK(C162:C166)=5,"???",IF(COUNT(G162:G166)=0,"NA",AVERAGE(G162:G166))))</f>
        <v>???</v>
      </c>
      <c r="H160" s="446"/>
    </row>
    <row r="161" spans="1:10" ht="27.6" customHeight="1">
      <c r="A161" s="120" t="s">
        <v>1307</v>
      </c>
      <c r="B161" s="37" t="str">
        <f>Language!A1246</f>
        <v>Is this reagent used to test patient isolates? (If No, select NA for the remaining questions about this reagent)</v>
      </c>
      <c r="C161" s="27"/>
      <c r="F161" s="29">
        <f t="shared" ref="F161:F166" si="38">C161</f>
        <v>0</v>
      </c>
      <c r="G161" s="18"/>
      <c r="H161" s="450"/>
      <c r="J161" s="250"/>
    </row>
    <row r="162" spans="1:10" ht="27.6" customHeight="1">
      <c r="A162" s="120" t="s">
        <v>1308</v>
      </c>
      <c r="B162" s="37" t="str">
        <f>Language!A1247</f>
        <v>Has an up-to-date SOP been fully implemented?* (If the reagent is in use but there is no SOP, answer "no" to all remaining questions about this reagent)</v>
      </c>
      <c r="C162" s="27"/>
      <c r="F162" s="29">
        <f t="shared" si="38"/>
        <v>0</v>
      </c>
      <c r="G162" s="18" t="str">
        <f>IF(F162="Yes",1,IF(F162="No",0,"'"))</f>
        <v>'</v>
      </c>
      <c r="H162" s="450"/>
    </row>
    <row r="163" spans="1:10">
      <c r="A163" s="120" t="s">
        <v>1309</v>
      </c>
      <c r="B163" s="37" t="str">
        <f>Language!A1248</f>
        <v>Is the SOP readily available** to bench staff?</v>
      </c>
      <c r="C163" s="27"/>
      <c r="F163" s="29">
        <f t="shared" si="38"/>
        <v>0</v>
      </c>
      <c r="G163" s="18" t="str">
        <f t="shared" ref="G163:G166" si="39">IF(F163="Yes",1,IF(F163="No",0,"'"))</f>
        <v>'</v>
      </c>
      <c r="H163" s="450"/>
    </row>
    <row r="164" spans="1:10" ht="27.6" customHeight="1">
      <c r="A164" s="120" t="s">
        <v>1310</v>
      </c>
      <c r="B164" s="37" t="str">
        <f>Language!A1249</f>
        <v>Does the SOP define QC organisms, QC frequency, and expected QC results?</v>
      </c>
      <c r="C164" s="27"/>
      <c r="F164" s="29">
        <f t="shared" si="38"/>
        <v>0</v>
      </c>
      <c r="G164" s="18" t="str">
        <f t="shared" si="39"/>
        <v>'</v>
      </c>
      <c r="H164" s="450"/>
    </row>
    <row r="165" spans="1:10">
      <c r="A165" s="120" t="s">
        <v>1311</v>
      </c>
      <c r="B165" s="37" t="str">
        <f>Language!A1250</f>
        <v>Does the SOP provide stepwise instructions for how to perform the test correctly?</v>
      </c>
      <c r="C165" s="27"/>
      <c r="F165" s="29">
        <f t="shared" si="38"/>
        <v>0</v>
      </c>
      <c r="G165" s="18" t="str">
        <f t="shared" si="39"/>
        <v>'</v>
      </c>
      <c r="H165" s="450"/>
    </row>
    <row r="166" spans="1:10">
      <c r="A166" s="120" t="s">
        <v>1312</v>
      </c>
      <c r="B166" s="37" t="str">
        <f>Language!A1251</f>
        <v>Does the SOP provide stepwise instructions for interpreting the test result correctly?</v>
      </c>
      <c r="C166" s="27"/>
      <c r="F166" s="29">
        <f t="shared" si="38"/>
        <v>0</v>
      </c>
      <c r="G166" s="18" t="str">
        <f t="shared" si="39"/>
        <v>'</v>
      </c>
      <c r="H166" s="450"/>
    </row>
    <row r="167" spans="1:10" ht="16.2" thickBot="1">
      <c r="A167" s="10"/>
    </row>
    <row r="168" spans="1:10" ht="16.2" thickBot="1">
      <c r="A168" s="166"/>
      <c r="B168" s="78" t="str">
        <f>Language!A1290</f>
        <v>ACINETOBACTER SPP, CONVENTIONAL ID METHODS</v>
      </c>
      <c r="C168" s="73" t="str">
        <f>IF((OR(C169="???",C176="???",C183="???",C190="???",C197="???")),"???",IF(COUNT(G170:G203)=0,"NA",AVERAGE(G170:G203)))</f>
        <v>???</v>
      </c>
      <c r="H168" s="446"/>
    </row>
    <row r="169" spans="1:10" ht="16.2" thickBot="1">
      <c r="A169" s="10"/>
      <c r="B169" s="45" t="str">
        <f>Language!A1291</f>
        <v>Glucose Oxidative-Fermentative (OF) test</v>
      </c>
      <c r="C169" s="207" t="str">
        <f>IF(C170="NO","NA",IF(COUNTBLANK(C171:C175)=5,"???",IF(COUNT(G171:G175)=0,"NA",AVERAGE(G171:G175))))</f>
        <v>???</v>
      </c>
      <c r="H169" s="446"/>
    </row>
    <row r="170" spans="1:10" ht="27.6" customHeight="1">
      <c r="A170" s="120" t="s">
        <v>1313</v>
      </c>
      <c r="B170" s="37" t="str">
        <f>Language!A1246</f>
        <v>Is this reagent used to test patient isolates? (If No, select NA for the remaining questions about this reagent)</v>
      </c>
      <c r="C170" s="27"/>
      <c r="F170" s="29">
        <f t="shared" ref="F170:F175" si="40">C170</f>
        <v>0</v>
      </c>
      <c r="G170" s="18"/>
      <c r="H170" s="459"/>
      <c r="I170" s="539"/>
      <c r="J170" s="250"/>
    </row>
    <row r="171" spans="1:10" ht="27.6" customHeight="1">
      <c r="A171" s="120" t="s">
        <v>1314</v>
      </c>
      <c r="B171" s="37" t="str">
        <f>Language!A1276</f>
        <v>Has an up-to-date SOP been fully implemented?* (If the reagent is in use but there is no SOP, answer "no" to all remaining questions about this reagent)</v>
      </c>
      <c r="C171" s="27"/>
      <c r="F171" s="29">
        <f t="shared" si="40"/>
        <v>0</v>
      </c>
      <c r="G171" s="18" t="str">
        <f>IF(F171="Yes",1,IF(F171="No",0,"'"))</f>
        <v>'</v>
      </c>
      <c r="H171" s="450"/>
    </row>
    <row r="172" spans="1:10">
      <c r="A172" s="120" t="s">
        <v>1315</v>
      </c>
      <c r="B172" s="37" t="str">
        <f>Language!A1277</f>
        <v>Is the SOP readily available** to bench staff?</v>
      </c>
      <c r="C172" s="27"/>
      <c r="F172" s="29">
        <f t="shared" si="40"/>
        <v>0</v>
      </c>
      <c r="G172" s="18" t="str">
        <f t="shared" ref="G172:G175" si="41">IF(F172="Yes",1,IF(F172="No",0,"'"))</f>
        <v>'</v>
      </c>
      <c r="H172" s="450"/>
    </row>
    <row r="173" spans="1:10" ht="27.6" customHeight="1">
      <c r="A173" s="120" t="s">
        <v>1316</v>
      </c>
      <c r="B173" s="37" t="str">
        <f>Language!A1278</f>
        <v>Does the SOP define QC organisms, QC frequency, and expected QC results?</v>
      </c>
      <c r="C173" s="27"/>
      <c r="F173" s="29">
        <f t="shared" si="40"/>
        <v>0</v>
      </c>
      <c r="G173" s="18" t="str">
        <f t="shared" si="41"/>
        <v>'</v>
      </c>
      <c r="H173" s="450"/>
    </row>
    <row r="174" spans="1:10">
      <c r="A174" s="120" t="s">
        <v>1317</v>
      </c>
      <c r="B174" s="37" t="str">
        <f>Language!A1279</f>
        <v>Does the SOP provide stepwise instructions for inoculation and incubation?</v>
      </c>
      <c r="C174" s="27"/>
      <c r="F174" s="29">
        <f t="shared" si="40"/>
        <v>0</v>
      </c>
      <c r="G174" s="18" t="str">
        <f t="shared" si="41"/>
        <v>'</v>
      </c>
      <c r="H174" s="450"/>
    </row>
    <row r="175" spans="1:10" ht="16.2" thickBot="1">
      <c r="A175" s="120" t="s">
        <v>1318</v>
      </c>
      <c r="B175" s="37" t="str">
        <f>Language!A1280</f>
        <v>Does the SOP provide stepwise instructions for reading and interpretation?</v>
      </c>
      <c r="C175" s="27"/>
      <c r="F175" s="29">
        <f t="shared" si="40"/>
        <v>0</v>
      </c>
      <c r="G175" s="18" t="str">
        <f t="shared" si="41"/>
        <v>'</v>
      </c>
      <c r="H175" s="450"/>
    </row>
    <row r="176" spans="1:10" ht="16.2" thickBot="1">
      <c r="A176" s="10"/>
      <c r="B176" s="45" t="str">
        <f>Language!A1292</f>
        <v>Nitrate reduction</v>
      </c>
      <c r="C176" s="207" t="str">
        <f>IF(C177="NO","NA",IF(COUNTBLANK(C178:C182)=5,"???",IF(COUNT(G178:G182)=0,"NA",AVERAGE(G178:G182))))</f>
        <v>???</v>
      </c>
      <c r="H176" s="446"/>
    </row>
    <row r="177" spans="1:10" ht="27.6" customHeight="1">
      <c r="A177" s="120" t="s">
        <v>1319</v>
      </c>
      <c r="B177" s="37" t="str">
        <f>Language!A1246</f>
        <v>Is this reagent used to test patient isolates? (If No, select NA for the remaining questions about this reagent)</v>
      </c>
      <c r="C177" s="27"/>
      <c r="F177" s="29">
        <f t="shared" ref="F177:F182" si="42">C177</f>
        <v>0</v>
      </c>
      <c r="G177" s="18"/>
      <c r="H177" s="459"/>
      <c r="J177" s="250"/>
    </row>
    <row r="178" spans="1:10" ht="27.6" customHeight="1">
      <c r="A178" s="120" t="s">
        <v>1320</v>
      </c>
      <c r="B178" s="37" t="str">
        <f>Language!A1276</f>
        <v>Has an up-to-date SOP been fully implemented?* (If the reagent is in use but there is no SOP, answer "no" to all remaining questions about this reagent)</v>
      </c>
      <c r="C178" s="27"/>
      <c r="F178" s="29">
        <f t="shared" si="42"/>
        <v>0</v>
      </c>
      <c r="G178" s="18" t="str">
        <f>IF(F178="Yes",1,IF(F178="No",0,"'"))</f>
        <v>'</v>
      </c>
      <c r="H178" s="450"/>
    </row>
    <row r="179" spans="1:10">
      <c r="A179" s="120" t="s">
        <v>1321</v>
      </c>
      <c r="B179" s="37" t="str">
        <f>Language!A1277</f>
        <v>Is the SOP readily available** to bench staff?</v>
      </c>
      <c r="C179" s="27"/>
      <c r="F179" s="29">
        <f t="shared" si="42"/>
        <v>0</v>
      </c>
      <c r="G179" s="18" t="str">
        <f t="shared" ref="G179:G182" si="43">IF(F179="Yes",1,IF(F179="No",0,"'"))</f>
        <v>'</v>
      </c>
      <c r="H179" s="450"/>
    </row>
    <row r="180" spans="1:10" ht="27.6" customHeight="1">
      <c r="A180" s="120" t="s">
        <v>1322</v>
      </c>
      <c r="B180" s="37" t="str">
        <f>Language!A1278</f>
        <v>Does the SOP define QC organisms, QC frequency, and expected QC results?</v>
      </c>
      <c r="C180" s="27"/>
      <c r="F180" s="29">
        <f t="shared" si="42"/>
        <v>0</v>
      </c>
      <c r="G180" s="18" t="str">
        <f t="shared" si="43"/>
        <v>'</v>
      </c>
      <c r="H180" s="450"/>
    </row>
    <row r="181" spans="1:10">
      <c r="A181" s="120" t="s">
        <v>1323</v>
      </c>
      <c r="B181" s="37" t="str">
        <f>Language!A1279</f>
        <v>Does the SOP provide stepwise instructions for inoculation and incubation?</v>
      </c>
      <c r="C181" s="27"/>
      <c r="F181" s="29">
        <f t="shared" si="42"/>
        <v>0</v>
      </c>
      <c r="G181" s="18" t="str">
        <f t="shared" si="43"/>
        <v>'</v>
      </c>
      <c r="H181" s="450"/>
    </row>
    <row r="182" spans="1:10" ht="16.2" thickBot="1">
      <c r="A182" s="120" t="s">
        <v>1324</v>
      </c>
      <c r="B182" s="37" t="str">
        <f>Language!A1280</f>
        <v>Does the SOP provide stepwise instructions for reading and interpretation?</v>
      </c>
      <c r="C182" s="27"/>
      <c r="F182" s="29">
        <f t="shared" si="42"/>
        <v>0</v>
      </c>
      <c r="G182" s="18" t="str">
        <f t="shared" si="43"/>
        <v>'</v>
      </c>
      <c r="H182" s="450"/>
    </row>
    <row r="183" spans="1:10" ht="16.2" thickBot="1">
      <c r="A183" s="10"/>
      <c r="B183" s="45" t="str">
        <f>Language!A1293</f>
        <v>Gelatin hydrolysis</v>
      </c>
      <c r="C183" s="207" t="str">
        <f>IF(C184="NO","NA",IF(COUNTBLANK(C185:C189)=5,"???",IF(COUNT(G185:G189)=0,"NA",AVERAGE(G185:G189))))</f>
        <v>???</v>
      </c>
      <c r="H183" s="446"/>
    </row>
    <row r="184" spans="1:10" ht="27.6" customHeight="1">
      <c r="A184" s="120" t="s">
        <v>1325</v>
      </c>
      <c r="B184" s="37" t="str">
        <f>Language!A1246</f>
        <v>Is this reagent used to test patient isolates? (If No, select NA for the remaining questions about this reagent)</v>
      </c>
      <c r="C184" s="27"/>
      <c r="F184" s="29">
        <f t="shared" ref="F184:F189" si="44">C184</f>
        <v>0</v>
      </c>
      <c r="G184" s="18"/>
      <c r="H184" s="459"/>
      <c r="J184" s="250"/>
    </row>
    <row r="185" spans="1:10" ht="27.6" customHeight="1">
      <c r="A185" s="120" t="s">
        <v>1326</v>
      </c>
      <c r="B185" s="37" t="str">
        <f>Language!A1276</f>
        <v>Has an up-to-date SOP been fully implemented?* (If the reagent is in use but there is no SOP, answer "no" to all remaining questions about this reagent)</v>
      </c>
      <c r="C185" s="27"/>
      <c r="F185" s="29">
        <f t="shared" si="44"/>
        <v>0</v>
      </c>
      <c r="G185" s="18" t="str">
        <f>IF(F185="Yes",1,IF(F185="No",0,"'"))</f>
        <v>'</v>
      </c>
      <c r="H185" s="450"/>
    </row>
    <row r="186" spans="1:10">
      <c r="A186" s="120" t="s">
        <v>1327</v>
      </c>
      <c r="B186" s="37" t="str">
        <f>Language!A1277</f>
        <v>Is the SOP readily available** to bench staff?</v>
      </c>
      <c r="C186" s="27"/>
      <c r="F186" s="29">
        <f t="shared" si="44"/>
        <v>0</v>
      </c>
      <c r="G186" s="18" t="str">
        <f t="shared" ref="G186:G189" si="45">IF(F186="Yes",1,IF(F186="No",0,"'"))</f>
        <v>'</v>
      </c>
      <c r="H186" s="450"/>
    </row>
    <row r="187" spans="1:10" ht="27.6" customHeight="1">
      <c r="A187" s="120" t="s">
        <v>1328</v>
      </c>
      <c r="B187" s="37" t="str">
        <f>Language!A1278</f>
        <v>Does the SOP define QC organisms, QC frequency, and expected QC results?</v>
      </c>
      <c r="C187" s="27"/>
      <c r="F187" s="29">
        <f t="shared" si="44"/>
        <v>0</v>
      </c>
      <c r="G187" s="18" t="str">
        <f t="shared" si="45"/>
        <v>'</v>
      </c>
      <c r="H187" s="450"/>
    </row>
    <row r="188" spans="1:10">
      <c r="A188" s="120" t="s">
        <v>1329</v>
      </c>
      <c r="B188" s="37" t="str">
        <f>Language!A1279</f>
        <v>Does the SOP provide stepwise instructions for inoculation and incubation?</v>
      </c>
      <c r="C188" s="27"/>
      <c r="F188" s="29">
        <f t="shared" si="44"/>
        <v>0</v>
      </c>
      <c r="G188" s="18" t="str">
        <f t="shared" si="45"/>
        <v>'</v>
      </c>
      <c r="H188" s="450"/>
    </row>
    <row r="189" spans="1:10" ht="16.2" thickBot="1">
      <c r="A189" s="120" t="s">
        <v>1330</v>
      </c>
      <c r="B189" s="37" t="str">
        <f>Language!A1280</f>
        <v>Does the SOP provide stepwise instructions for reading and interpretation?</v>
      </c>
      <c r="C189" s="27"/>
      <c r="F189" s="29">
        <f t="shared" si="44"/>
        <v>0</v>
      </c>
      <c r="G189" s="18" t="str">
        <f t="shared" si="45"/>
        <v>'</v>
      </c>
      <c r="H189" s="450"/>
    </row>
    <row r="190" spans="1:10" ht="16.2" thickBot="1">
      <c r="A190" s="10"/>
      <c r="B190" s="45" t="str">
        <f>Language!A1294</f>
        <v>Chloramphenicol resistance (disk)</v>
      </c>
      <c r="C190" s="207" t="str">
        <f>IF(C191="NO","NA",IF(COUNTBLANK(C192:C196)=5,"???",IF(COUNT(G192:G196)=0,"NA",AVERAGE(G192:G196))))</f>
        <v>???</v>
      </c>
      <c r="H190" s="446"/>
    </row>
    <row r="191" spans="1:10" ht="27.6" customHeight="1">
      <c r="A191" s="120" t="s">
        <v>1331</v>
      </c>
      <c r="B191" s="37" t="str">
        <f>Language!A1246</f>
        <v>Is this reagent used to test patient isolates? (If No, select NA for the remaining questions about this reagent)</v>
      </c>
      <c r="C191" s="27"/>
      <c r="F191" s="29">
        <f t="shared" ref="F191:F196" si="46">C191</f>
        <v>0</v>
      </c>
      <c r="G191" s="18"/>
      <c r="H191" s="459"/>
      <c r="J191" s="250"/>
    </row>
    <row r="192" spans="1:10" ht="27.6" customHeight="1">
      <c r="A192" s="120" t="s">
        <v>1332</v>
      </c>
      <c r="B192" s="37" t="str">
        <f>Language!A1276</f>
        <v>Has an up-to-date SOP been fully implemented?* (If the reagent is in use but there is no SOP, answer "no" to all remaining questions about this reagent)</v>
      </c>
      <c r="C192" s="27"/>
      <c r="F192" s="29">
        <f t="shared" si="46"/>
        <v>0</v>
      </c>
      <c r="G192" s="18" t="str">
        <f>IF(F192="Yes",1,IF(F192="No",0,"'"))</f>
        <v>'</v>
      </c>
      <c r="H192" s="450"/>
    </row>
    <row r="193" spans="1:10">
      <c r="A193" s="120" t="s">
        <v>1333</v>
      </c>
      <c r="B193" s="37" t="str">
        <f>Language!A1277</f>
        <v>Is the SOP readily available** to bench staff?</v>
      </c>
      <c r="C193" s="27"/>
      <c r="F193" s="29">
        <f t="shared" si="46"/>
        <v>0</v>
      </c>
      <c r="G193" s="18" t="str">
        <f t="shared" ref="G193:G196" si="47">IF(F193="Yes",1,IF(F193="No",0,"'"))</f>
        <v>'</v>
      </c>
      <c r="H193" s="450"/>
    </row>
    <row r="194" spans="1:10" ht="27.6" customHeight="1">
      <c r="A194" s="120" t="s">
        <v>1334</v>
      </c>
      <c r="B194" s="37" t="str">
        <f>Language!A1278</f>
        <v>Does the SOP define QC organisms, QC frequency, and expected QC results?</v>
      </c>
      <c r="C194" s="27"/>
      <c r="F194" s="29">
        <f t="shared" si="46"/>
        <v>0</v>
      </c>
      <c r="G194" s="18" t="str">
        <f t="shared" si="47"/>
        <v>'</v>
      </c>
      <c r="H194" s="450"/>
    </row>
    <row r="195" spans="1:10">
      <c r="A195" s="120" t="s">
        <v>1335</v>
      </c>
      <c r="B195" s="37" t="str">
        <f>Language!A1279</f>
        <v>Does the SOP provide stepwise instructions for inoculation and incubation?</v>
      </c>
      <c r="C195" s="27"/>
      <c r="F195" s="29">
        <f t="shared" si="46"/>
        <v>0</v>
      </c>
      <c r="G195" s="18" t="str">
        <f t="shared" si="47"/>
        <v>'</v>
      </c>
      <c r="H195" s="450"/>
    </row>
    <row r="196" spans="1:10" ht="16.2" thickBot="1">
      <c r="A196" s="120" t="s">
        <v>1336</v>
      </c>
      <c r="B196" s="37" t="str">
        <f>Language!A1280</f>
        <v>Does the SOP provide stepwise instructions for reading and interpretation?</v>
      </c>
      <c r="C196" s="27"/>
      <c r="F196" s="29">
        <f t="shared" si="46"/>
        <v>0</v>
      </c>
      <c r="G196" s="18" t="str">
        <f t="shared" si="47"/>
        <v>'</v>
      </c>
      <c r="H196" s="450"/>
    </row>
    <row r="197" spans="1:10" ht="16.2" thickBot="1">
      <c r="A197" s="10"/>
      <c r="B197" s="45" t="str">
        <f>Language!A1295</f>
        <v>Growth at 42°C</v>
      </c>
      <c r="C197" s="207" t="str">
        <f>IF(C198="NO","NA",IF(COUNTBLANK(C199:C203)=5,"???",IF(COUNT(G199:G203)=0,"NA",AVERAGE(G199:G203))))</f>
        <v>???</v>
      </c>
      <c r="H197" s="446"/>
    </row>
    <row r="198" spans="1:10" ht="27.6" customHeight="1">
      <c r="A198" s="120" t="s">
        <v>1337</v>
      </c>
      <c r="B198" s="37" t="str">
        <f>Language!A1246</f>
        <v>Is this reagent used to test patient isolates? (If No, select NA for the remaining questions about this reagent)</v>
      </c>
      <c r="C198" s="27"/>
      <c r="F198" s="29">
        <f t="shared" ref="F198:F203" si="48">C198</f>
        <v>0</v>
      </c>
      <c r="G198" s="18"/>
      <c r="H198" s="459"/>
      <c r="J198" s="250"/>
    </row>
    <row r="199" spans="1:10" ht="27.6" customHeight="1">
      <c r="A199" s="120" t="s">
        <v>1338</v>
      </c>
      <c r="B199" s="37" t="str">
        <f>Language!A1276</f>
        <v>Has an up-to-date SOP been fully implemented?* (If the reagent is in use but there is no SOP, answer "no" to all remaining questions about this reagent)</v>
      </c>
      <c r="C199" s="27"/>
      <c r="F199" s="29">
        <f t="shared" si="48"/>
        <v>0</v>
      </c>
      <c r="G199" s="18" t="str">
        <f>IF(F199="Yes",1,IF(F199="No",0,"'"))</f>
        <v>'</v>
      </c>
      <c r="H199" s="450"/>
    </row>
    <row r="200" spans="1:10">
      <c r="A200" s="120" t="s">
        <v>1339</v>
      </c>
      <c r="B200" s="37" t="str">
        <f>Language!A1277</f>
        <v>Is the SOP readily available** to bench staff?</v>
      </c>
      <c r="C200" s="27"/>
      <c r="F200" s="29">
        <f t="shared" si="48"/>
        <v>0</v>
      </c>
      <c r="G200" s="18" t="str">
        <f t="shared" ref="G200:G203" si="49">IF(F200="Yes",1,IF(F200="No",0,"'"))</f>
        <v>'</v>
      </c>
      <c r="H200" s="450"/>
    </row>
    <row r="201" spans="1:10" ht="27.6" customHeight="1">
      <c r="A201" s="120" t="s">
        <v>1340</v>
      </c>
      <c r="B201" s="37" t="str">
        <f>Language!A1278</f>
        <v>Does the SOP define QC organisms, QC frequency, and expected QC results?</v>
      </c>
      <c r="C201" s="27"/>
      <c r="F201" s="29">
        <f t="shared" si="48"/>
        <v>0</v>
      </c>
      <c r="G201" s="18" t="str">
        <f t="shared" si="49"/>
        <v>'</v>
      </c>
      <c r="H201" s="450"/>
    </row>
    <row r="202" spans="1:10">
      <c r="A202" s="120" t="s">
        <v>1341</v>
      </c>
      <c r="B202" s="37" t="str">
        <f>Language!A1279</f>
        <v>Does the SOP provide stepwise instructions for inoculation and incubation?</v>
      </c>
      <c r="C202" s="27"/>
      <c r="F202" s="29">
        <f t="shared" si="48"/>
        <v>0</v>
      </c>
      <c r="G202" s="18" t="str">
        <f t="shared" si="49"/>
        <v>'</v>
      </c>
      <c r="H202" s="450"/>
    </row>
    <row r="203" spans="1:10">
      <c r="A203" s="120" t="s">
        <v>1342</v>
      </c>
      <c r="B203" s="37" t="str">
        <f>Language!A1280</f>
        <v>Does the SOP provide stepwise instructions for reading and interpretation?</v>
      </c>
      <c r="C203" s="27"/>
      <c r="F203" s="29">
        <f t="shared" si="48"/>
        <v>0</v>
      </c>
      <c r="G203" s="18" t="str">
        <f t="shared" si="49"/>
        <v>'</v>
      </c>
      <c r="H203" s="450"/>
    </row>
    <row r="204" spans="1:10" ht="16.2" thickBot="1">
      <c r="A204" s="10"/>
    </row>
    <row r="205" spans="1:10" ht="16.2" thickBot="1">
      <c r="A205" s="166"/>
      <c r="B205" s="50" t="str">
        <f>Language!A1296</f>
        <v>KIT-BASED ID METHODS</v>
      </c>
      <c r="C205" s="44" t="str">
        <f>IF(COUNTBLANK(C206:C218)=13,"???",IF(COUNT(G206:G218)=0,"NA",AVERAGE(G206:G218)))</f>
        <v>???</v>
      </c>
      <c r="H205" s="446"/>
    </row>
    <row r="206" spans="1:10" ht="41.4" customHeight="1">
      <c r="A206" s="119"/>
      <c r="B206" s="8" t="str">
        <f>Language!A1297</f>
        <v xml:space="preserve"> If the lab uses rapid biochemical kits for organism ID (e.g., API, Liofilchem, RapID), does the SOP for each kit contain the following information? (If kits are not used, select "NA", if kits are used but there is no SOP, select "No")</v>
      </c>
      <c r="H206" s="13"/>
    </row>
    <row r="207" spans="1:10">
      <c r="A207" s="10"/>
      <c r="B207" s="491" t="str">
        <f>Language!A1303</f>
        <v>1: Yes - 2: Partial - 3: No - NA: lab does not use rapid biochemical kits</v>
      </c>
      <c r="C207" s="61"/>
    </row>
    <row r="208" spans="1:10">
      <c r="A208" s="120" t="s">
        <v>1343</v>
      </c>
      <c r="B208" s="37" t="str">
        <f>Language!A1298</f>
        <v>Defined QC organisms, QC frequency, and expected QC results</v>
      </c>
      <c r="C208" s="46"/>
      <c r="F208" s="29">
        <f>C208</f>
        <v>0</v>
      </c>
      <c r="G208" s="18" t="str">
        <f>IF(F208=1,1,IF(F208=2,0.5,IF(F208=3,0,"'")))</f>
        <v>'</v>
      </c>
      <c r="H208" s="450"/>
    </row>
    <row r="209" spans="1:9" ht="27.6" customHeight="1">
      <c r="A209" s="120" t="s">
        <v>1344</v>
      </c>
      <c r="B209" s="37" t="str">
        <f>Language!A1299</f>
        <v>Stepwise instructions for preparing the inoculum in the correct liquid medium and at the correct density</v>
      </c>
      <c r="C209" s="46"/>
      <c r="F209" s="29">
        <f>C209</f>
        <v>0</v>
      </c>
      <c r="G209" s="18" t="str">
        <f t="shared" ref="G209:G212" si="50">IF(F209=1,1,IF(F209=2,0.5,IF(F209=3,0,"'")))</f>
        <v>'</v>
      </c>
      <c r="H209" s="450"/>
    </row>
    <row r="210" spans="1:9">
      <c r="A210" s="120" t="s">
        <v>1345</v>
      </c>
      <c r="B210" s="37" t="str">
        <f>Language!A1300</f>
        <v>Stepwise instructions on how to inoculate and incubate the device</v>
      </c>
      <c r="C210" s="46"/>
      <c r="F210" s="29">
        <f>C210</f>
        <v>0</v>
      </c>
      <c r="G210" s="18" t="str">
        <f t="shared" si="50"/>
        <v>'</v>
      </c>
      <c r="H210" s="450"/>
    </row>
    <row r="211" spans="1:9" ht="27.6" customHeight="1">
      <c r="A211" s="120" t="s">
        <v>1346</v>
      </c>
      <c r="B211" s="37" t="str">
        <f>Language!A1301</f>
        <v>Stepwise instructions on how to read the results, including use of additional reagents if necessary</v>
      </c>
      <c r="C211" s="46"/>
      <c r="F211" s="29">
        <f>C211</f>
        <v>0</v>
      </c>
      <c r="G211" s="18" t="str">
        <f t="shared" si="50"/>
        <v>'</v>
      </c>
      <c r="H211" s="450"/>
    </row>
    <row r="212" spans="1:9">
      <c r="A212" s="120" t="s">
        <v>1347</v>
      </c>
      <c r="B212" s="37" t="str">
        <f>Language!A1302</f>
        <v>Clear guidance on interpreting results and recognizing unacceptable results</v>
      </c>
      <c r="C212" s="46"/>
      <c r="F212" s="29">
        <f>C212</f>
        <v>0</v>
      </c>
      <c r="G212" s="18" t="str">
        <f t="shared" si="50"/>
        <v>'</v>
      </c>
      <c r="H212" s="450"/>
    </row>
    <row r="213" spans="1:9">
      <c r="A213" s="120" t="s">
        <v>1348</v>
      </c>
      <c r="B213" s="20" t="str">
        <f>Language!A1304</f>
        <v>Are the SOPs available in a language that the technologists can read proficiently?</v>
      </c>
      <c r="C213" s="27"/>
      <c r="F213" s="29">
        <f t="shared" ref="F213:F218" si="51">C213</f>
        <v>0</v>
      </c>
      <c r="G213" s="18" t="str">
        <f>IF(F213="Yes",1,IF(F213="NO",0,"'"))</f>
        <v>'</v>
      </c>
      <c r="H213" s="450"/>
    </row>
    <row r="214" spans="1:9">
      <c r="A214" s="120" t="s">
        <v>1349</v>
      </c>
      <c r="B214" s="20" t="str">
        <f>Language!A1305</f>
        <v xml:space="preserve">Is the lab using the inoculation media recommended by the manufacturer? </v>
      </c>
      <c r="C214" s="27"/>
      <c r="F214" s="29">
        <f t="shared" si="51"/>
        <v>0</v>
      </c>
      <c r="G214" s="18" t="str">
        <f t="shared" ref="G214:G218" si="52">IF(F214="Yes",1,IF(F214="NO",0,"'"))</f>
        <v>'</v>
      </c>
      <c r="H214" s="450"/>
    </row>
    <row r="215" spans="1:9" ht="55.2" customHeight="1">
      <c r="A215" s="120" t="s">
        <v>1350</v>
      </c>
      <c r="B215" s="8" t="str">
        <f>Language!A1306</f>
        <v>Following device inoculation, does the lab use the remaining inoculum to make a purity plate? (A purity plate is a light subculture of the inoculum that is made to ensure the inoculum was not a mixed culture or contaminated; usually streaked like a urine to ensure visualization of individual colonies and checked for purity when reading results)</v>
      </c>
      <c r="C215" s="27"/>
      <c r="F215" s="29">
        <f t="shared" si="51"/>
        <v>0</v>
      </c>
      <c r="G215" s="18" t="str">
        <f t="shared" si="52"/>
        <v>'</v>
      </c>
      <c r="H215" s="450"/>
    </row>
    <row r="216" spans="1:9" ht="27.6" customHeight="1">
      <c r="A216" s="120" t="s">
        <v>7154</v>
      </c>
      <c r="B216" s="8" t="str">
        <f>Language!A1307</f>
        <v xml:space="preserve">Following incubation, are all supplemental reagents available and added according to manufacturer instructions? (e.g., VP1 &amp; 2 for API) </v>
      </c>
      <c r="C216" s="27"/>
      <c r="F216" s="29">
        <f t="shared" si="51"/>
        <v>0</v>
      </c>
      <c r="G216" s="18" t="str">
        <f t="shared" si="52"/>
        <v>'</v>
      </c>
      <c r="H216" s="450"/>
    </row>
    <row r="217" spans="1:9" ht="27.6" customHeight="1">
      <c r="A217" s="120" t="s">
        <v>1351</v>
      </c>
      <c r="B217" s="8" t="str">
        <f>Language!A1308</f>
        <v>Are the databases used to interpret the kit results (bionumbers) up to date?</v>
      </c>
      <c r="C217" s="27"/>
      <c r="F217" s="29">
        <f t="shared" si="51"/>
        <v>0</v>
      </c>
      <c r="G217" s="18" t="str">
        <f t="shared" si="52"/>
        <v>'</v>
      </c>
      <c r="H217" s="450"/>
    </row>
    <row r="218" spans="1:9" ht="41.4" customHeight="1">
      <c r="A218" s="120" t="s">
        <v>1352</v>
      </c>
      <c r="B218" s="8" t="str">
        <f>Language!A1309</f>
        <v>When an ID result (bionumber) does not reach the threshold for an acceptable identification, is there evidence that appropriate action is taken, such as repeating the test by another method or performing additional biochemical tests?</v>
      </c>
      <c r="C218" s="27"/>
      <c r="F218" s="29">
        <f t="shared" si="51"/>
        <v>0</v>
      </c>
      <c r="G218" s="18" t="str">
        <f t="shared" si="52"/>
        <v>'</v>
      </c>
      <c r="H218" s="450"/>
      <c r="I218" s="18" t="str">
        <f>IF(C218="No","Red Flag","'")</f>
        <v>'</v>
      </c>
    </row>
    <row r="219" spans="1:9" ht="16.2" thickBot="1">
      <c r="A219" s="120"/>
      <c r="B219" s="18"/>
      <c r="C219" s="18"/>
      <c r="D219" s="18"/>
      <c r="E219" s="18"/>
      <c r="F219" s="18"/>
      <c r="G219" s="18"/>
      <c r="H219" s="91"/>
      <c r="I219" s="18"/>
    </row>
    <row r="220" spans="1:9" ht="16.2" thickBot="1">
      <c r="A220" s="166"/>
      <c r="B220" s="50" t="str">
        <f>Language!A1310</f>
        <v>AUTOMATED ID METHODS</v>
      </c>
      <c r="C220" s="44" t="str">
        <f>IF(COUNTBLANK(C221:C232)=12,"???",IF(COUNT(G221:G232)=0,"NA",AVERAGE(G221:G232)))</f>
        <v>???</v>
      </c>
      <c r="F220" s="28"/>
      <c r="H220" s="167"/>
    </row>
    <row r="221" spans="1:9" ht="41.4" customHeight="1">
      <c r="A221" s="120"/>
      <c r="B221" s="20" t="str">
        <f>Language!A1311</f>
        <v>If the lab uses automated methods for organism ID (e.g., Vitek, Microscan, Phoenix), do the SOPs contain the following information? (User manuals provided by the manufacturer are not considered SOPs)</v>
      </c>
      <c r="H221" s="13"/>
    </row>
    <row r="222" spans="1:9">
      <c r="A222" s="77"/>
      <c r="B222" s="465" t="str">
        <f>Language!A1317</f>
        <v>1: Yes; 2: Partial; 3: No; NA: automated methods are not used</v>
      </c>
      <c r="D222" s="103"/>
      <c r="E222" s="103"/>
      <c r="F222" s="29"/>
      <c r="G222" s="18"/>
    </row>
    <row r="223" spans="1:9">
      <c r="A223" s="120" t="s">
        <v>1353</v>
      </c>
      <c r="B223" s="37" t="str">
        <f>Language!A1312</f>
        <v>Defined QC organisms, QC frequency, and expected QC results</v>
      </c>
      <c r="C223" s="46"/>
      <c r="F223" s="29">
        <f t="shared" ref="F223:F230" si="53">C223</f>
        <v>0</v>
      </c>
      <c r="G223" s="18" t="str">
        <f>IF(F223=1,1,IF(F223=2,0.5,IF(F223=3,0,"'")))</f>
        <v>'</v>
      </c>
      <c r="H223" s="450"/>
    </row>
    <row r="224" spans="1:9" ht="27.6" customHeight="1">
      <c r="A224" s="120" t="s">
        <v>1354</v>
      </c>
      <c r="B224" s="37" t="str">
        <f>Language!A1313</f>
        <v>Stepwise instructions for preparing the inoculum in the correct liquid medium and at the correct density</v>
      </c>
      <c r="C224" s="46"/>
      <c r="F224" s="29">
        <f t="shared" si="53"/>
        <v>0</v>
      </c>
      <c r="G224" s="18" t="str">
        <f t="shared" ref="G224:G227" si="54">IF(F224=1,1,IF(F224=2,0.5,IF(F224=3,0,"'")))</f>
        <v>'</v>
      </c>
      <c r="H224" s="450"/>
    </row>
    <row r="225" spans="1:10">
      <c r="A225" s="120" t="s">
        <v>2313</v>
      </c>
      <c r="B225" s="37" t="str">
        <f>Language!A1314</f>
        <v>Stepwise instructions on how to inoculate and incubate the device</v>
      </c>
      <c r="C225" s="46"/>
      <c r="F225" s="29">
        <f t="shared" si="53"/>
        <v>0</v>
      </c>
      <c r="G225" s="18" t="str">
        <f t="shared" si="54"/>
        <v>'</v>
      </c>
      <c r="H225" s="450"/>
    </row>
    <row r="226" spans="1:10" ht="27.6" customHeight="1">
      <c r="A226" s="120" t="s">
        <v>2314</v>
      </c>
      <c r="B226" s="37" t="str">
        <f>Language!A1315</f>
        <v>Stepwise instructions on how to read the results, including use of additional reagents if necessary</v>
      </c>
      <c r="C226" s="46"/>
      <c r="F226" s="29">
        <f t="shared" si="53"/>
        <v>0</v>
      </c>
      <c r="G226" s="18" t="str">
        <f t="shared" si="54"/>
        <v>'</v>
      </c>
      <c r="H226" s="450"/>
    </row>
    <row r="227" spans="1:10">
      <c r="A227" s="120" t="s">
        <v>2315</v>
      </c>
      <c r="B227" s="37" t="str">
        <f>Language!A1316</f>
        <v>Clear guidance on interpreting results and recognizing unacceptable results</v>
      </c>
      <c r="C227" s="46"/>
      <c r="F227" s="29">
        <f t="shared" si="53"/>
        <v>0</v>
      </c>
      <c r="G227" s="18" t="str">
        <f t="shared" si="54"/>
        <v>'</v>
      </c>
      <c r="H227" s="450"/>
    </row>
    <row r="228" spans="1:10" ht="27.6" customHeight="1">
      <c r="A228" s="120" t="s">
        <v>2316</v>
      </c>
      <c r="B228" s="20" t="str">
        <f>Language!A1318</f>
        <v>Is the SOP available in a language that the technologists using the instrument can read proficiently?</v>
      </c>
      <c r="C228" s="27"/>
      <c r="F228" s="29">
        <f t="shared" si="53"/>
        <v>0</v>
      </c>
      <c r="G228" s="18" t="str">
        <f>IF(F228="Yes",1,IF(F228="NO",0,"'"))</f>
        <v>'</v>
      </c>
      <c r="H228" s="450"/>
    </row>
    <row r="229" spans="1:10">
      <c r="A229" s="120" t="s">
        <v>2318</v>
      </c>
      <c r="B229" s="20" t="str">
        <f>Language!A1319</f>
        <v xml:space="preserve">Is the lab using the inoculation medium recommended by the manufacturer? </v>
      </c>
      <c r="C229" s="27"/>
      <c r="F229" s="29">
        <f t="shared" si="53"/>
        <v>0</v>
      </c>
      <c r="G229" s="18" t="str">
        <f t="shared" ref="G229:G232" si="55">IF(F229="Yes",1,IF(F229="NO",0,"'"))</f>
        <v>'</v>
      </c>
      <c r="H229" s="450"/>
    </row>
    <row r="230" spans="1:10" ht="27.6" customHeight="1">
      <c r="A230" s="120" t="s">
        <v>2319</v>
      </c>
      <c r="B230" s="20" t="str">
        <f>Language!A1320</f>
        <v>Following card/tray inoculation, does the lab use the remaining inoculum to make a purity plate?</v>
      </c>
      <c r="C230" s="27"/>
      <c r="F230" s="29">
        <f t="shared" si="53"/>
        <v>0</v>
      </c>
      <c r="G230" s="18" t="str">
        <f t="shared" si="55"/>
        <v>'</v>
      </c>
      <c r="H230" s="450"/>
    </row>
    <row r="231" spans="1:10" ht="36" customHeight="1">
      <c r="A231" s="119"/>
      <c r="B231" s="546" t="str">
        <f>Language!A1321</f>
        <v>A purity plate is a light subculture of the inoculum that is made to ensure the inoculum was not mixed or contaminated; usually streaked like a urine to ensure visualization of individual colonies and checked for purity when reading results. BAP is typically used.</v>
      </c>
      <c r="C231" s="242"/>
    </row>
    <row r="232" spans="1:10" ht="41.4" customHeight="1">
      <c r="A232" s="120" t="s">
        <v>2320</v>
      </c>
      <c r="B232" s="8" t="str">
        <f>Language!A1322</f>
        <v>When the instrument software flags an ID result as questionable, is there evidence that appropriate action is taken, such as repeating the test by another method or performing additional biochemical tests?</v>
      </c>
      <c r="C232" s="27"/>
      <c r="F232" s="29">
        <f>C232</f>
        <v>0</v>
      </c>
      <c r="G232" s="18" t="str">
        <f t="shared" si="55"/>
        <v>'</v>
      </c>
      <c r="H232" s="450"/>
      <c r="I232" s="18" t="str">
        <f>IF(C232="No","Red Flag","'")</f>
        <v>'</v>
      </c>
    </row>
    <row r="233" spans="1:10" ht="16.2" thickBot="1">
      <c r="A233" s="10"/>
      <c r="B233" s="210"/>
      <c r="C233" s="19"/>
      <c r="F233" s="28"/>
      <c r="H233" s="200"/>
    </row>
    <row r="234" spans="1:10" ht="16.2" thickBot="1">
      <c r="A234" s="166"/>
      <c r="B234" s="78" t="str">
        <f>Language!A1323</f>
        <v>IDENTIFICATION FLOWCHARTS</v>
      </c>
      <c r="C234" s="44" t="str">
        <f>IF(COUNTBLANK(C236:C245)=10,"???",IF(COUNT(G236:G245)=0,"NA",AVERAGE(G236:G245)))</f>
        <v>???</v>
      </c>
      <c r="H234" s="446"/>
    </row>
    <row r="235" spans="1:10">
      <c r="A235" s="10"/>
      <c r="B235" s="465" t="str">
        <f>Language!A1324</f>
        <v>1: Always - 2:  Sometimes - 3: Never</v>
      </c>
      <c r="C235" s="42"/>
      <c r="F235" s="29"/>
      <c r="G235" s="18"/>
      <c r="H235" s="175"/>
      <c r="J235" s="64"/>
    </row>
    <row r="236" spans="1:10" ht="27.6" customHeight="1">
      <c r="A236" s="158" t="s">
        <v>2321</v>
      </c>
      <c r="B236" s="129" t="str">
        <f>Language!A1325</f>
        <v xml:space="preserve">When the primary plate has mixed colony types, is it standard practice to subculture each colony of interest to a fresh plate to ensure purity prior to pursuing identification? </v>
      </c>
      <c r="C236" s="46"/>
      <c r="F236" s="29">
        <f t="shared" ref="F236:F244" si="56">C236</f>
        <v>0</v>
      </c>
      <c r="G236" s="18" t="str">
        <f>IF(F236=1,1,IF(F236=2,0.5,IF(F236=3,0,"'")))</f>
        <v>'</v>
      </c>
      <c r="H236" s="454"/>
      <c r="J236" s="250"/>
    </row>
    <row r="237" spans="1:10" ht="27.6" customHeight="1">
      <c r="A237" s="158" t="s">
        <v>2331</v>
      </c>
      <c r="B237" s="129" t="str">
        <f>Language!A1326</f>
        <v>Is it standard practice to perform a Gram stain on each isolate of interest prior to performing any other testing?</v>
      </c>
      <c r="C237" s="46"/>
      <c r="F237" s="29">
        <f t="shared" si="56"/>
        <v>0</v>
      </c>
      <c r="G237" s="18" t="str">
        <f t="shared" ref="G237:G244" si="57">IF(F237=1,1,IF(F237=2,0.5,IF(F237=3,0,"'")))</f>
        <v>'</v>
      </c>
      <c r="H237" s="454"/>
      <c r="J237" s="250"/>
    </row>
    <row r="238" spans="1:10" ht="27.6" customHeight="1">
      <c r="A238" s="158" t="s">
        <v>2332</v>
      </c>
      <c r="B238" s="129" t="str">
        <f>Language!A1327</f>
        <v>For gram-negative bacilli, is it standard practice to perform an oxidase test first, before proceeding with any other identification tests (including automated ID)?</v>
      </c>
      <c r="C238" s="46"/>
      <c r="F238" s="29">
        <f t="shared" si="56"/>
        <v>0</v>
      </c>
      <c r="G238" s="18" t="str">
        <f t="shared" si="57"/>
        <v>'</v>
      </c>
      <c r="H238" s="454"/>
      <c r="J238" s="250"/>
    </row>
    <row r="239" spans="1:10" ht="27.6" customHeight="1">
      <c r="A239" s="158" t="s">
        <v>2333</v>
      </c>
      <c r="B239" s="72" t="str">
        <f>Language!A1328</f>
        <v>For gram-negative bacilli, is it standard practice to perform an indole test second, before proceeding with other identification tests (including automated ID)?</v>
      </c>
      <c r="C239" s="46"/>
      <c r="F239" s="29">
        <f t="shared" si="56"/>
        <v>0</v>
      </c>
      <c r="G239" s="18" t="str">
        <f t="shared" si="57"/>
        <v>'</v>
      </c>
      <c r="H239" s="454"/>
      <c r="J239" s="250"/>
    </row>
    <row r="240" spans="1:10" ht="27.6" customHeight="1">
      <c r="A240" s="158" t="s">
        <v>2334</v>
      </c>
      <c r="B240" s="72" t="str">
        <f>Language!A1329</f>
        <v>For oxidase-negative gram-negative bacilli that do not ferment lactose (clear on MacConkey), are sufficient tests available to achieve a definitive identification?</v>
      </c>
      <c r="C240" s="46"/>
      <c r="F240" s="29">
        <f t="shared" si="56"/>
        <v>0</v>
      </c>
      <c r="G240" s="18" t="str">
        <f t="shared" si="57"/>
        <v>'</v>
      </c>
      <c r="H240" s="454"/>
      <c r="J240" s="250"/>
    </row>
    <row r="241" spans="1:10" ht="27.6" customHeight="1">
      <c r="A241" s="158" t="s">
        <v>2335</v>
      </c>
      <c r="B241" s="129" t="str">
        <f>Language!A1330</f>
        <v>For oxidase-positive gram-negative bacilli that are not Pseudomonas aeruginosa (lack the characteristic appearance and odor), are sufficient tests available to achieve a definitive identification?</v>
      </c>
      <c r="C241" s="46"/>
      <c r="F241" s="29">
        <f t="shared" si="56"/>
        <v>0</v>
      </c>
      <c r="G241" s="18" t="str">
        <f t="shared" si="57"/>
        <v>'</v>
      </c>
      <c r="H241" s="454"/>
      <c r="J241" s="250"/>
    </row>
    <row r="242" spans="1:10" ht="27.6" customHeight="1">
      <c r="A242" s="158" t="s">
        <v>2336</v>
      </c>
      <c r="B242" s="129" t="str">
        <f>Language!A1331</f>
        <v>For gram-positive cocci, is it standard practice to perform a catalase test first, before proceeding with any other identification tests (including automated ID)?</v>
      </c>
      <c r="C242" s="46"/>
      <c r="F242" s="29">
        <f t="shared" si="56"/>
        <v>0</v>
      </c>
      <c r="G242" s="18" t="str">
        <f t="shared" si="57"/>
        <v>'</v>
      </c>
      <c r="H242" s="454"/>
      <c r="J242" s="250"/>
    </row>
    <row r="243" spans="1:10" ht="27.6" customHeight="1">
      <c r="A243" s="158" t="s">
        <v>2337</v>
      </c>
      <c r="B243" s="129" t="str">
        <f>Language!A1332</f>
        <v>For catalase-positive gram-positive cocci, is it standard practice to perform a coagulase test next, before proceeding with other identification tests (including automated ID)?</v>
      </c>
      <c r="C243" s="46"/>
      <c r="F243" s="29">
        <f t="shared" si="56"/>
        <v>0</v>
      </c>
      <c r="G243" s="18" t="str">
        <f t="shared" si="57"/>
        <v>'</v>
      </c>
      <c r="H243" s="454"/>
      <c r="J243" s="250"/>
    </row>
    <row r="244" spans="1:10" ht="27.6" customHeight="1">
      <c r="A244" s="158" t="s">
        <v>2338</v>
      </c>
      <c r="B244" s="129" t="str">
        <f>Language!A1333</f>
        <v>For catalase-negative gram-positive cocci, is it standard practice to evaluate the type of hemolysis (alpha, beta, gamma), before proceeding with other identification tests (including automated ID)?</v>
      </c>
      <c r="C244" s="46"/>
      <c r="F244" s="29">
        <f t="shared" si="56"/>
        <v>0</v>
      </c>
      <c r="G244" s="18" t="str">
        <f t="shared" si="57"/>
        <v>'</v>
      </c>
      <c r="H244" s="454"/>
      <c r="J244" s="250"/>
    </row>
  </sheetData>
  <sheetProtection algorithmName="SHA-256" hashValue="iyHGiL7+Sb2gZVrSEPloBhNkIFtPazC5rzfOMHXQNCM=" saltValue="Yogwf8UuhFPPk6Swz7rhbQ==" spinCount="100000" sheet="1" selectLockedCells="1"/>
  <mergeCells count="2">
    <mergeCell ref="B5:B6"/>
    <mergeCell ref="B7:B8"/>
  </mergeCells>
  <phoneticPr fontId="46" type="noConversion"/>
  <conditionalFormatting sqref="G32 G213:G218 B219:G219 I218:I219">
    <cfRule type="cellIs" dxfId="1100" priority="1275" stopIfTrue="1" operator="lessThan">
      <formula>0.5</formula>
    </cfRule>
    <cfRule type="cellIs" dxfId="1099" priority="1276" stopIfTrue="1" operator="between">
      <formula>0.5</formula>
      <formula>0.75</formula>
    </cfRule>
    <cfRule type="cellIs" dxfId="1098" priority="1277" stopIfTrue="1" operator="greaterThan">
      <formula>0.75</formula>
    </cfRule>
  </conditionalFormatting>
  <conditionalFormatting sqref="C205">
    <cfRule type="cellIs" dxfId="1097" priority="1272" stopIfTrue="1" operator="greaterThanOrEqual">
      <formula>0.8</formula>
    </cfRule>
    <cfRule type="cellIs" dxfId="1096" priority="1273" stopIfTrue="1" operator="between">
      <formula>0.5</formula>
      <formula>0.799</formula>
    </cfRule>
    <cfRule type="cellIs" dxfId="1095" priority="1274" stopIfTrue="1" operator="lessThan">
      <formula>0.5</formula>
    </cfRule>
  </conditionalFormatting>
  <conditionalFormatting sqref="C220">
    <cfRule type="cellIs" dxfId="1094" priority="1314" stopIfTrue="1" operator="greaterThanOrEqual">
      <formula>0.8</formula>
    </cfRule>
    <cfRule type="cellIs" dxfId="1093" priority="1315" stopIfTrue="1" operator="between">
      <formula>0.5</formula>
      <formula>0.799</formula>
    </cfRule>
    <cfRule type="cellIs" dxfId="1092" priority="1316" stopIfTrue="1" operator="lessThan">
      <formula>0.5</formula>
    </cfRule>
  </conditionalFormatting>
  <conditionalFormatting sqref="G222">
    <cfRule type="cellIs" dxfId="1091" priority="1311" stopIfTrue="1" operator="lessThan">
      <formula>0.5</formula>
    </cfRule>
    <cfRule type="cellIs" dxfId="1090" priority="1312" stopIfTrue="1" operator="between">
      <formula>0.5</formula>
      <formula>0.75</formula>
    </cfRule>
    <cfRule type="cellIs" dxfId="1089" priority="1313" stopIfTrue="1" operator="greaterThan">
      <formula>0.75</formula>
    </cfRule>
  </conditionalFormatting>
  <conditionalFormatting sqref="G214">
    <cfRule type="cellIs" dxfId="1088" priority="1263" stopIfTrue="1" operator="lessThan">
      <formula>0.5</formula>
    </cfRule>
    <cfRule type="cellIs" dxfId="1087" priority="1264" stopIfTrue="1" operator="between">
      <formula>0.5</formula>
      <formula>0.75</formula>
    </cfRule>
    <cfRule type="cellIs" dxfId="1086" priority="1265" stopIfTrue="1" operator="greaterThan">
      <formula>0.75</formula>
    </cfRule>
  </conditionalFormatting>
  <conditionalFormatting sqref="G228:G230 G232">
    <cfRule type="cellIs" dxfId="1085" priority="1290" stopIfTrue="1" operator="lessThan">
      <formula>0.5</formula>
    </cfRule>
    <cfRule type="cellIs" dxfId="1084" priority="1291" stopIfTrue="1" operator="between">
      <formula>0.5</formula>
      <formula>0.75</formula>
    </cfRule>
    <cfRule type="cellIs" dxfId="1083" priority="1292" stopIfTrue="1" operator="greaterThan">
      <formula>0.75</formula>
    </cfRule>
  </conditionalFormatting>
  <conditionalFormatting sqref="G215">
    <cfRule type="cellIs" dxfId="1082" priority="1260" stopIfTrue="1" operator="lessThan">
      <formula>0.5</formula>
    </cfRule>
    <cfRule type="cellIs" dxfId="1081" priority="1261" stopIfTrue="1" operator="between">
      <formula>0.5</formula>
      <formula>0.75</formula>
    </cfRule>
    <cfRule type="cellIs" dxfId="1080" priority="1262" stopIfTrue="1" operator="greaterThan">
      <formula>0.75</formula>
    </cfRule>
  </conditionalFormatting>
  <conditionalFormatting sqref="G217:G218">
    <cfRule type="cellIs" dxfId="1079" priority="1257" stopIfTrue="1" operator="lessThan">
      <formula>0.5</formula>
    </cfRule>
    <cfRule type="cellIs" dxfId="1078" priority="1258" stopIfTrue="1" operator="between">
      <formula>0.5</formula>
      <formula>0.75</formula>
    </cfRule>
    <cfRule type="cellIs" dxfId="1077" priority="1259" stopIfTrue="1" operator="greaterThan">
      <formula>0.75</formula>
    </cfRule>
  </conditionalFormatting>
  <conditionalFormatting sqref="G13:G17">
    <cfRule type="cellIs" dxfId="1076" priority="1248" stopIfTrue="1" operator="lessThan">
      <formula>0.5</formula>
    </cfRule>
    <cfRule type="cellIs" dxfId="1075" priority="1249" stopIfTrue="1" operator="between">
      <formula>0.5</formula>
      <formula>0.75</formula>
    </cfRule>
    <cfRule type="cellIs" dxfId="1074" priority="1250" stopIfTrue="1" operator="greaterThan">
      <formula>0.75</formula>
    </cfRule>
  </conditionalFormatting>
  <conditionalFormatting sqref="G13">
    <cfRule type="cellIs" dxfId="1073" priority="1245" stopIfTrue="1" operator="lessThan">
      <formula>0.5</formula>
    </cfRule>
    <cfRule type="cellIs" dxfId="1072" priority="1246" stopIfTrue="1" operator="between">
      <formula>0.5</formula>
      <formula>0.75</formula>
    </cfRule>
    <cfRule type="cellIs" dxfId="1071" priority="1247" stopIfTrue="1" operator="greaterThan">
      <formula>0.75</formula>
    </cfRule>
  </conditionalFormatting>
  <conditionalFormatting sqref="G14">
    <cfRule type="cellIs" dxfId="1070" priority="1242" stopIfTrue="1" operator="lessThan">
      <formula>0.5</formula>
    </cfRule>
    <cfRule type="cellIs" dxfId="1069" priority="1243" stopIfTrue="1" operator="between">
      <formula>0.5</formula>
      <formula>0.75</formula>
    </cfRule>
    <cfRule type="cellIs" dxfId="1068" priority="1244" stopIfTrue="1" operator="greaterThan">
      <formula>0.75</formula>
    </cfRule>
  </conditionalFormatting>
  <conditionalFormatting sqref="G151:G152">
    <cfRule type="cellIs" dxfId="1067" priority="729" stopIfTrue="1" operator="lessThan">
      <formula>0.5</formula>
    </cfRule>
    <cfRule type="cellIs" dxfId="1066" priority="730" stopIfTrue="1" operator="between">
      <formula>0.5</formula>
      <formula>0.75</formula>
    </cfRule>
    <cfRule type="cellIs" dxfId="1065" priority="731" stopIfTrue="1" operator="greaterThan">
      <formula>0.75</formula>
    </cfRule>
  </conditionalFormatting>
  <conditionalFormatting sqref="C57">
    <cfRule type="cellIs" dxfId="1064" priority="1158" stopIfTrue="1" operator="greaterThanOrEqual">
      <formula>0.8</formula>
    </cfRule>
    <cfRule type="cellIs" dxfId="1063" priority="1159" stopIfTrue="1" operator="between">
      <formula>0.5</formula>
      <formula>0.799</formula>
    </cfRule>
    <cfRule type="cellIs" dxfId="1062" priority="1160" stopIfTrue="1" operator="lessThan">
      <formula>0.5</formula>
    </cfRule>
  </conditionalFormatting>
  <conditionalFormatting sqref="C3">
    <cfRule type="cellIs" dxfId="1061" priority="1161" stopIfTrue="1" operator="greaterThanOrEqual">
      <formula>0.8</formula>
    </cfRule>
    <cfRule type="cellIs" dxfId="1060" priority="1162" stopIfTrue="1" operator="between">
      <formula>0.5</formula>
      <formula>0.799</formula>
    </cfRule>
    <cfRule type="cellIs" dxfId="1059" priority="1163" stopIfTrue="1" operator="lessThan">
      <formula>0.5</formula>
    </cfRule>
  </conditionalFormatting>
  <conditionalFormatting sqref="C87">
    <cfRule type="cellIs" dxfId="1058" priority="1074" stopIfTrue="1" operator="greaterThanOrEqual">
      <formula>0.8</formula>
    </cfRule>
    <cfRule type="cellIs" dxfId="1057" priority="1075" stopIfTrue="1" operator="between">
      <formula>0.5</formula>
      <formula>0.799</formula>
    </cfRule>
    <cfRule type="cellIs" dxfId="1056" priority="1076" stopIfTrue="1" operator="lessThan">
      <formula>0.5</formula>
    </cfRule>
  </conditionalFormatting>
  <conditionalFormatting sqref="C168">
    <cfRule type="cellIs" dxfId="1055" priority="1053" stopIfTrue="1" operator="greaterThanOrEqual">
      <formula>0.8</formula>
    </cfRule>
    <cfRule type="cellIs" dxfId="1054" priority="1054" stopIfTrue="1" operator="between">
      <formula>0.5</formula>
      <formula>0.799</formula>
    </cfRule>
    <cfRule type="cellIs" dxfId="1053" priority="1055" stopIfTrue="1" operator="lessThan">
      <formula>0.5</formula>
    </cfRule>
  </conditionalFormatting>
  <conditionalFormatting sqref="G216">
    <cfRule type="cellIs" dxfId="1052" priority="1038" stopIfTrue="1" operator="lessThan">
      <formula>0.5</formula>
    </cfRule>
    <cfRule type="cellIs" dxfId="1051" priority="1039" stopIfTrue="1" operator="between">
      <formula>0.5</formula>
      <formula>0.75</formula>
    </cfRule>
    <cfRule type="cellIs" dxfId="1050" priority="1040" stopIfTrue="1" operator="greaterThan">
      <formula>0.75</formula>
    </cfRule>
  </conditionalFormatting>
  <conditionalFormatting sqref="G15">
    <cfRule type="cellIs" dxfId="1049" priority="1035" stopIfTrue="1" operator="lessThan">
      <formula>0.5</formula>
    </cfRule>
    <cfRule type="cellIs" dxfId="1048" priority="1036" stopIfTrue="1" operator="between">
      <formula>0.5</formula>
      <formula>0.75</formula>
    </cfRule>
    <cfRule type="cellIs" dxfId="1047" priority="1037" stopIfTrue="1" operator="greaterThan">
      <formula>0.75</formula>
    </cfRule>
  </conditionalFormatting>
  <conditionalFormatting sqref="G16">
    <cfRule type="cellIs" dxfId="1046" priority="1032" stopIfTrue="1" operator="lessThan">
      <formula>0.5</formula>
    </cfRule>
    <cfRule type="cellIs" dxfId="1045" priority="1033" stopIfTrue="1" operator="between">
      <formula>0.5</formula>
      <formula>0.75</formula>
    </cfRule>
    <cfRule type="cellIs" dxfId="1044" priority="1034" stopIfTrue="1" operator="greaterThan">
      <formula>0.75</formula>
    </cfRule>
  </conditionalFormatting>
  <conditionalFormatting sqref="G17 G19">
    <cfRule type="cellIs" dxfId="1043" priority="1029" stopIfTrue="1" operator="lessThan">
      <formula>0.5</formula>
    </cfRule>
    <cfRule type="cellIs" dxfId="1042" priority="1030" stopIfTrue="1" operator="between">
      <formula>0.5</formula>
      <formula>0.75</formula>
    </cfRule>
    <cfRule type="cellIs" dxfId="1041" priority="1031" stopIfTrue="1" operator="greaterThan">
      <formula>0.75</formula>
    </cfRule>
  </conditionalFormatting>
  <conditionalFormatting sqref="G28 G30:G31">
    <cfRule type="cellIs" dxfId="1040" priority="1020" stopIfTrue="1" operator="lessThan">
      <formula>0.5</formula>
    </cfRule>
    <cfRule type="cellIs" dxfId="1039" priority="1021" stopIfTrue="1" operator="between">
      <formula>0.5</formula>
      <formula>0.75</formula>
    </cfRule>
    <cfRule type="cellIs" dxfId="1038" priority="1022" stopIfTrue="1" operator="greaterThan">
      <formula>0.75</formula>
    </cfRule>
  </conditionalFormatting>
  <conditionalFormatting sqref="G41">
    <cfRule type="cellIs" dxfId="1037" priority="1002" stopIfTrue="1" operator="lessThan">
      <formula>0.5</formula>
    </cfRule>
    <cfRule type="cellIs" dxfId="1036" priority="1003" stopIfTrue="1" operator="between">
      <formula>0.5</formula>
      <formula>0.75</formula>
    </cfRule>
    <cfRule type="cellIs" dxfId="1035" priority="1004" stopIfTrue="1" operator="greaterThan">
      <formula>0.75</formula>
    </cfRule>
  </conditionalFormatting>
  <conditionalFormatting sqref="G49">
    <cfRule type="cellIs" dxfId="1034" priority="984" stopIfTrue="1" operator="lessThan">
      <formula>0.5</formula>
    </cfRule>
    <cfRule type="cellIs" dxfId="1033" priority="985" stopIfTrue="1" operator="between">
      <formula>0.5</formula>
      <formula>0.75</formula>
    </cfRule>
    <cfRule type="cellIs" dxfId="1032" priority="986" stopIfTrue="1" operator="greaterThan">
      <formula>0.75</formula>
    </cfRule>
  </conditionalFormatting>
  <conditionalFormatting sqref="G18">
    <cfRule type="cellIs" dxfId="1031" priority="563" stopIfTrue="1" operator="lessThan">
      <formula>0.5</formula>
    </cfRule>
    <cfRule type="cellIs" dxfId="1030" priority="564" stopIfTrue="1" operator="between">
      <formula>0.5</formula>
      <formula>0.75</formula>
    </cfRule>
    <cfRule type="cellIs" dxfId="1029" priority="565" stopIfTrue="1" operator="greaterThan">
      <formula>0.75</formula>
    </cfRule>
  </conditionalFormatting>
  <conditionalFormatting sqref="G19:G20 G28 G41:G42 G116 G109 G123 G130 G160 G176 G183 G190 G49 G4:G8 G65 G72 G137 G144 G151:G153 G57:G58 G30:G34 G167:G169 G87:G88 I218:I219 G220 G1:G2 G204:G205 G80 G245:G1048576 G13:G17 G95 G102 G232:G234 B219:G219 G213:G218 G207 G228:G230 G222">
    <cfRule type="containsText" dxfId="1028" priority="566" stopIfTrue="1" operator="containsText" text="RED FLAG">
      <formula>NOT(ISERROR(SEARCH("RED FLAG",B1)))</formula>
    </cfRule>
  </conditionalFormatting>
  <conditionalFormatting sqref="G18">
    <cfRule type="containsText" dxfId="1027" priority="562" stopIfTrue="1" operator="containsText" text="RED FLAG">
      <formula>NOT(ISERROR(SEARCH("RED FLAG",G18)))</formula>
    </cfRule>
  </conditionalFormatting>
  <conditionalFormatting sqref="G29">
    <cfRule type="cellIs" dxfId="1026" priority="555" stopIfTrue="1" operator="lessThan">
      <formula>0.5</formula>
    </cfRule>
    <cfRule type="cellIs" dxfId="1025" priority="556" stopIfTrue="1" operator="between">
      <formula>0.5</formula>
      <formula>0.75</formula>
    </cfRule>
    <cfRule type="cellIs" dxfId="1024" priority="557" stopIfTrue="1" operator="greaterThan">
      <formula>0.75</formula>
    </cfRule>
  </conditionalFormatting>
  <conditionalFormatting sqref="G29">
    <cfRule type="containsText" dxfId="1023" priority="554" stopIfTrue="1" operator="containsText" text="RED FLAG">
      <formula>NOT(ISERROR(SEARCH("RED FLAG",G29)))</formula>
    </cfRule>
  </conditionalFormatting>
  <conditionalFormatting sqref="G79">
    <cfRule type="cellIs" dxfId="1022" priority="547" stopIfTrue="1" operator="lessThan">
      <formula>0.5</formula>
    </cfRule>
    <cfRule type="cellIs" dxfId="1021" priority="548" stopIfTrue="1" operator="between">
      <formula>0.5</formula>
      <formula>0.75</formula>
    </cfRule>
    <cfRule type="cellIs" dxfId="1020" priority="549" stopIfTrue="1" operator="greaterThan">
      <formula>0.75</formula>
    </cfRule>
  </conditionalFormatting>
  <conditionalFormatting sqref="G79">
    <cfRule type="containsText" dxfId="1019" priority="546" stopIfTrue="1" operator="containsText" text="RED FLAG">
      <formula>NOT(ISERROR(SEARCH("RED FLAG",G79)))</formula>
    </cfRule>
  </conditionalFormatting>
  <conditionalFormatting sqref="G217:G218">
    <cfRule type="cellIs" dxfId="1018" priority="543" stopIfTrue="1" operator="lessThan">
      <formula>0.5</formula>
    </cfRule>
    <cfRule type="cellIs" dxfId="1017" priority="544" stopIfTrue="1" operator="between">
      <formula>0.5</formula>
      <formula>0.75</formula>
    </cfRule>
    <cfRule type="cellIs" dxfId="1016" priority="545" stopIfTrue="1" operator="greaterThan">
      <formula>0.75</formula>
    </cfRule>
  </conditionalFormatting>
  <conditionalFormatting sqref="C20">
    <cfRule type="cellIs" dxfId="1015" priority="537" stopIfTrue="1" operator="greaterThanOrEqual">
      <formula>0.8</formula>
    </cfRule>
    <cfRule type="cellIs" dxfId="1014" priority="538" stopIfTrue="1" operator="between">
      <formula>0.5</formula>
      <formula>0.799</formula>
    </cfRule>
    <cfRule type="cellIs" dxfId="1013" priority="539" stopIfTrue="1" operator="lessThan">
      <formula>0.5</formula>
    </cfRule>
  </conditionalFormatting>
  <conditionalFormatting sqref="C33">
    <cfRule type="cellIs" dxfId="1012" priority="534" stopIfTrue="1" operator="greaterThanOrEqual">
      <formula>0.8</formula>
    </cfRule>
    <cfRule type="cellIs" dxfId="1011" priority="535" stopIfTrue="1" operator="between">
      <formula>0.5</formula>
      <formula>0.799</formula>
    </cfRule>
    <cfRule type="cellIs" dxfId="1010" priority="536" stopIfTrue="1" operator="lessThan">
      <formula>0.5</formula>
    </cfRule>
  </conditionalFormatting>
  <conditionalFormatting sqref="C72">
    <cfRule type="cellIs" dxfId="1009" priority="519" stopIfTrue="1" operator="greaterThanOrEqual">
      <formula>0.8</formula>
    </cfRule>
    <cfRule type="cellIs" dxfId="1008" priority="520" stopIfTrue="1" operator="between">
      <formula>0.5</formula>
      <formula>0.799</formula>
    </cfRule>
    <cfRule type="cellIs" dxfId="1007" priority="521" stopIfTrue="1" operator="lessThan">
      <formula>0.5</formula>
    </cfRule>
  </conditionalFormatting>
  <conditionalFormatting sqref="C65">
    <cfRule type="cellIs" dxfId="1006" priority="457" stopIfTrue="1" operator="greaterThanOrEqual">
      <formula>0.8</formula>
    </cfRule>
    <cfRule type="cellIs" dxfId="1005" priority="458" stopIfTrue="1" operator="between">
      <formula>0.5</formula>
      <formula>0.799</formula>
    </cfRule>
    <cfRule type="cellIs" dxfId="1004" priority="459" stopIfTrue="1" operator="lessThan">
      <formula>0.5</formula>
    </cfRule>
  </conditionalFormatting>
  <conditionalFormatting sqref="C58">
    <cfRule type="cellIs" dxfId="1003" priority="454" stopIfTrue="1" operator="greaterThanOrEqual">
      <formula>0.8</formula>
    </cfRule>
    <cfRule type="cellIs" dxfId="1002" priority="455" stopIfTrue="1" operator="between">
      <formula>0.5</formula>
      <formula>0.799</formula>
    </cfRule>
    <cfRule type="cellIs" dxfId="1001" priority="456" stopIfTrue="1" operator="lessThan">
      <formula>0.5</formula>
    </cfRule>
  </conditionalFormatting>
  <conditionalFormatting sqref="C80">
    <cfRule type="cellIs" dxfId="1000" priority="447" stopIfTrue="1" operator="greaterThanOrEqual">
      <formula>0.8</formula>
    </cfRule>
    <cfRule type="cellIs" dxfId="999" priority="448" stopIfTrue="1" operator="between">
      <formula>0.5</formula>
      <formula>0.799</formula>
    </cfRule>
    <cfRule type="cellIs" dxfId="998" priority="449" stopIfTrue="1" operator="lessThan">
      <formula>0.5</formula>
    </cfRule>
  </conditionalFormatting>
  <conditionalFormatting sqref="C88">
    <cfRule type="cellIs" dxfId="997" priority="444" stopIfTrue="1" operator="greaterThanOrEqual">
      <formula>0.8</formula>
    </cfRule>
    <cfRule type="cellIs" dxfId="996" priority="445" stopIfTrue="1" operator="between">
      <formula>0.5</formula>
      <formula>0.799</formula>
    </cfRule>
    <cfRule type="cellIs" dxfId="995" priority="446" stopIfTrue="1" operator="lessThan">
      <formula>0.5</formula>
    </cfRule>
  </conditionalFormatting>
  <conditionalFormatting sqref="C169">
    <cfRule type="cellIs" dxfId="994" priority="367" stopIfTrue="1" operator="greaterThanOrEqual">
      <formula>0.8</formula>
    </cfRule>
    <cfRule type="cellIs" dxfId="993" priority="368" stopIfTrue="1" operator="between">
      <formula>0.5</formula>
      <formula>0.799</formula>
    </cfRule>
    <cfRule type="cellIs" dxfId="992" priority="369" stopIfTrue="1" operator="lessThan">
      <formula>0.5</formula>
    </cfRule>
  </conditionalFormatting>
  <conditionalFormatting sqref="C176">
    <cfRule type="cellIs" dxfId="991" priority="364" stopIfTrue="1" operator="greaterThanOrEqual">
      <formula>0.8</formula>
    </cfRule>
    <cfRule type="cellIs" dxfId="990" priority="365" stopIfTrue="1" operator="between">
      <formula>0.5</formula>
      <formula>0.799</formula>
    </cfRule>
    <cfRule type="cellIs" dxfId="989" priority="366" stopIfTrue="1" operator="lessThan">
      <formula>0.5</formula>
    </cfRule>
  </conditionalFormatting>
  <conditionalFormatting sqref="C183">
    <cfRule type="cellIs" dxfId="988" priority="361" stopIfTrue="1" operator="greaterThanOrEqual">
      <formula>0.8</formula>
    </cfRule>
    <cfRule type="cellIs" dxfId="987" priority="362" stopIfTrue="1" operator="between">
      <formula>0.5</formula>
      <formula>0.799</formula>
    </cfRule>
    <cfRule type="cellIs" dxfId="986" priority="363" stopIfTrue="1" operator="lessThan">
      <formula>0.5</formula>
    </cfRule>
  </conditionalFormatting>
  <conditionalFormatting sqref="C190">
    <cfRule type="cellIs" dxfId="985" priority="358" stopIfTrue="1" operator="greaterThanOrEqual">
      <formula>0.8</formula>
    </cfRule>
    <cfRule type="cellIs" dxfId="984" priority="359" stopIfTrue="1" operator="between">
      <formula>0.5</formula>
      <formula>0.799</formula>
    </cfRule>
    <cfRule type="cellIs" dxfId="983" priority="360" stopIfTrue="1" operator="lessThan">
      <formula>0.5</formula>
    </cfRule>
  </conditionalFormatting>
  <conditionalFormatting sqref="C197">
    <cfRule type="cellIs" dxfId="982" priority="355" stopIfTrue="1" operator="greaterThanOrEqual">
      <formula>0.8</formula>
    </cfRule>
    <cfRule type="cellIs" dxfId="981" priority="356" stopIfTrue="1" operator="between">
      <formula>0.5</formula>
      <formula>0.799</formula>
    </cfRule>
    <cfRule type="cellIs" dxfId="980" priority="357" stopIfTrue="1" operator="lessThan">
      <formula>0.5</formula>
    </cfRule>
  </conditionalFormatting>
  <conditionalFormatting sqref="C95">
    <cfRule type="cellIs" dxfId="979" priority="352" stopIfTrue="1" operator="greaterThanOrEqual">
      <formula>0.8</formula>
    </cfRule>
    <cfRule type="cellIs" dxfId="978" priority="353" stopIfTrue="1" operator="between">
      <formula>0.5</formula>
      <formula>0.799</formula>
    </cfRule>
    <cfRule type="cellIs" dxfId="977" priority="354" stopIfTrue="1" operator="lessThan">
      <formula>0.5</formula>
    </cfRule>
  </conditionalFormatting>
  <conditionalFormatting sqref="C102">
    <cfRule type="cellIs" dxfId="976" priority="349" stopIfTrue="1" operator="greaterThanOrEqual">
      <formula>0.8</formula>
    </cfRule>
    <cfRule type="cellIs" dxfId="975" priority="350" stopIfTrue="1" operator="between">
      <formula>0.5</formula>
      <formula>0.799</formula>
    </cfRule>
    <cfRule type="cellIs" dxfId="974" priority="351" stopIfTrue="1" operator="lessThan">
      <formula>0.5</formula>
    </cfRule>
  </conditionalFormatting>
  <conditionalFormatting sqref="C109">
    <cfRule type="cellIs" dxfId="973" priority="346" stopIfTrue="1" operator="greaterThanOrEqual">
      <formula>0.8</formula>
    </cfRule>
    <cfRule type="cellIs" dxfId="972" priority="347" stopIfTrue="1" operator="between">
      <formula>0.5</formula>
      <formula>0.799</formula>
    </cfRule>
    <cfRule type="cellIs" dxfId="971" priority="348" stopIfTrue="1" operator="lessThan">
      <formula>0.5</formula>
    </cfRule>
  </conditionalFormatting>
  <conditionalFormatting sqref="C116">
    <cfRule type="cellIs" dxfId="970" priority="343" stopIfTrue="1" operator="greaterThanOrEqual">
      <formula>0.8</formula>
    </cfRule>
    <cfRule type="cellIs" dxfId="969" priority="344" stopIfTrue="1" operator="between">
      <formula>0.5</formula>
      <formula>0.799</formula>
    </cfRule>
    <cfRule type="cellIs" dxfId="968" priority="345" stopIfTrue="1" operator="lessThan">
      <formula>0.5</formula>
    </cfRule>
  </conditionalFormatting>
  <conditionalFormatting sqref="C123">
    <cfRule type="cellIs" dxfId="967" priority="340" stopIfTrue="1" operator="greaterThanOrEqual">
      <formula>0.8</formula>
    </cfRule>
    <cfRule type="cellIs" dxfId="966" priority="341" stopIfTrue="1" operator="between">
      <formula>0.5</formula>
      <formula>0.799</formula>
    </cfRule>
    <cfRule type="cellIs" dxfId="965" priority="342" stopIfTrue="1" operator="lessThan">
      <formula>0.5</formula>
    </cfRule>
  </conditionalFormatting>
  <conditionalFormatting sqref="C130">
    <cfRule type="cellIs" dxfId="964" priority="337" stopIfTrue="1" operator="greaterThanOrEqual">
      <formula>0.8</formula>
    </cfRule>
    <cfRule type="cellIs" dxfId="963" priority="338" stopIfTrue="1" operator="between">
      <formula>0.5</formula>
      <formula>0.799</formula>
    </cfRule>
    <cfRule type="cellIs" dxfId="962" priority="339" stopIfTrue="1" operator="lessThan">
      <formula>0.5</formula>
    </cfRule>
  </conditionalFormatting>
  <conditionalFormatting sqref="C137">
    <cfRule type="cellIs" dxfId="961" priority="334" stopIfTrue="1" operator="greaterThanOrEqual">
      <formula>0.8</formula>
    </cfRule>
    <cfRule type="cellIs" dxfId="960" priority="335" stopIfTrue="1" operator="between">
      <formula>0.5</formula>
      <formula>0.799</formula>
    </cfRule>
    <cfRule type="cellIs" dxfId="959" priority="336" stopIfTrue="1" operator="lessThan">
      <formula>0.5</formula>
    </cfRule>
  </conditionalFormatting>
  <conditionalFormatting sqref="C144">
    <cfRule type="cellIs" dxfId="958" priority="331" stopIfTrue="1" operator="greaterThanOrEqual">
      <formula>0.8</formula>
    </cfRule>
    <cfRule type="cellIs" dxfId="957" priority="332" stopIfTrue="1" operator="between">
      <formula>0.5</formula>
      <formula>0.799</formula>
    </cfRule>
    <cfRule type="cellIs" dxfId="956" priority="333" stopIfTrue="1" operator="lessThan">
      <formula>0.5</formula>
    </cfRule>
  </conditionalFormatting>
  <conditionalFormatting sqref="C153">
    <cfRule type="cellIs" dxfId="955" priority="328" stopIfTrue="1" operator="greaterThanOrEqual">
      <formula>0.8</formula>
    </cfRule>
    <cfRule type="cellIs" dxfId="954" priority="329" stopIfTrue="1" operator="between">
      <formula>0.5</formula>
      <formula>0.799</formula>
    </cfRule>
    <cfRule type="cellIs" dxfId="953" priority="330" stopIfTrue="1" operator="lessThan">
      <formula>0.5</formula>
    </cfRule>
  </conditionalFormatting>
  <conditionalFormatting sqref="C160">
    <cfRule type="cellIs" dxfId="952" priority="325" stopIfTrue="1" operator="greaterThanOrEqual">
      <formula>0.8</formula>
    </cfRule>
    <cfRule type="cellIs" dxfId="951" priority="326" stopIfTrue="1" operator="between">
      <formula>0.5</formula>
      <formula>0.799</formula>
    </cfRule>
    <cfRule type="cellIs" dxfId="950" priority="327" stopIfTrue="1" operator="lessThan">
      <formula>0.5</formula>
    </cfRule>
  </conditionalFormatting>
  <conditionalFormatting sqref="C152">
    <cfRule type="cellIs" dxfId="949" priority="322" stopIfTrue="1" operator="greaterThanOrEqual">
      <formula>0.8</formula>
    </cfRule>
    <cfRule type="cellIs" dxfId="948" priority="323" stopIfTrue="1" operator="between">
      <formula>0.5</formula>
      <formula>0.799</formula>
    </cfRule>
    <cfRule type="cellIs" dxfId="947" priority="324" stopIfTrue="1" operator="lessThan">
      <formula>0.5</formula>
    </cfRule>
  </conditionalFormatting>
  <conditionalFormatting sqref="C32">
    <cfRule type="cellIs" dxfId="946" priority="319" stopIfTrue="1" operator="greaterThanOrEqual">
      <formula>0.8</formula>
    </cfRule>
    <cfRule type="cellIs" dxfId="945" priority="320" stopIfTrue="1" operator="between">
      <formula>0.5</formula>
      <formula>0.799</formula>
    </cfRule>
    <cfRule type="cellIs" dxfId="944" priority="321" stopIfTrue="1" operator="lessThan">
      <formula>0.5</formula>
    </cfRule>
  </conditionalFormatting>
  <conditionalFormatting sqref="C42">
    <cfRule type="cellIs" dxfId="943" priority="304" stopIfTrue="1" operator="greaterThanOrEqual">
      <formula>0.8</formula>
    </cfRule>
    <cfRule type="cellIs" dxfId="942" priority="305" stopIfTrue="1" operator="between">
      <formula>0.5</formula>
      <formula>0.799</formula>
    </cfRule>
    <cfRule type="cellIs" dxfId="941" priority="306" stopIfTrue="1" operator="lessThan">
      <formula>0.5</formula>
    </cfRule>
  </conditionalFormatting>
  <conditionalFormatting sqref="C49">
    <cfRule type="cellIs" dxfId="940" priority="301" stopIfTrue="1" operator="greaterThanOrEqual">
      <formula>0.8</formula>
    </cfRule>
    <cfRule type="cellIs" dxfId="939" priority="302" stopIfTrue="1" operator="between">
      <formula>0.5</formula>
      <formula>0.799</formula>
    </cfRule>
    <cfRule type="cellIs" dxfId="938" priority="303" stopIfTrue="1" operator="lessThan">
      <formula>0.5</formula>
    </cfRule>
  </conditionalFormatting>
  <conditionalFormatting sqref="C11">
    <cfRule type="cellIs" dxfId="937" priority="298" stopIfTrue="1" operator="greaterThanOrEqual">
      <formula>0.8</formula>
    </cfRule>
    <cfRule type="cellIs" dxfId="936" priority="299" stopIfTrue="1" operator="between">
      <formula>0.5</formula>
      <formula>0.799</formula>
    </cfRule>
    <cfRule type="cellIs" dxfId="935" priority="300" stopIfTrue="1" operator="lessThan">
      <formula>0.5</formula>
    </cfRule>
  </conditionalFormatting>
  <conditionalFormatting sqref="G13:G17">
    <cfRule type="cellIs" dxfId="934" priority="292" stopIfTrue="1" operator="lessThan">
      <formula>0.5</formula>
    </cfRule>
    <cfRule type="cellIs" dxfId="933" priority="293" stopIfTrue="1" operator="between">
      <formula>0.5</formula>
      <formula>0.75</formula>
    </cfRule>
    <cfRule type="cellIs" dxfId="932" priority="294" stopIfTrue="1" operator="greaterThan">
      <formula>0.75</formula>
    </cfRule>
  </conditionalFormatting>
  <conditionalFormatting sqref="I29">
    <cfRule type="containsText" dxfId="931" priority="202" operator="containsText" text="Red Flag">
      <formula>NOT(ISERROR(SEARCH("Red Flag",I29)))</formula>
    </cfRule>
  </conditionalFormatting>
  <conditionalFormatting sqref="I18">
    <cfRule type="containsText" dxfId="930" priority="201" operator="containsText" text="Red Flag">
      <formula>NOT(ISERROR(SEARCH("Red Flag",I18)))</formula>
    </cfRule>
  </conditionalFormatting>
  <conditionalFormatting sqref="I232">
    <cfRule type="cellIs" dxfId="929" priority="198" stopIfTrue="1" operator="lessThan">
      <formula>0.5</formula>
    </cfRule>
    <cfRule type="cellIs" dxfId="928" priority="199" stopIfTrue="1" operator="between">
      <formula>0.5</formula>
      <formula>0.75</formula>
    </cfRule>
    <cfRule type="cellIs" dxfId="927" priority="200" stopIfTrue="1" operator="greaterThan">
      <formula>0.75</formula>
    </cfRule>
  </conditionalFormatting>
  <conditionalFormatting sqref="I232">
    <cfRule type="containsText" dxfId="926" priority="197" stopIfTrue="1" operator="containsText" text="RED FLAG">
      <formula>NOT(ISERROR(SEARCH("RED FLAG",I232)))</formula>
    </cfRule>
  </conditionalFormatting>
  <conditionalFormatting sqref="I79">
    <cfRule type="cellIs" dxfId="925" priority="194" stopIfTrue="1" operator="lessThan">
      <formula>0.5</formula>
    </cfRule>
    <cfRule type="cellIs" dxfId="924" priority="195" stopIfTrue="1" operator="between">
      <formula>0.5</formula>
      <formula>0.75</formula>
    </cfRule>
    <cfRule type="cellIs" dxfId="923" priority="196" stopIfTrue="1" operator="greaterThan">
      <formula>0.75</formula>
    </cfRule>
  </conditionalFormatting>
  <conditionalFormatting sqref="I79">
    <cfRule type="containsText" dxfId="922" priority="193" stopIfTrue="1" operator="containsText" text="RED FLAG">
      <formula>NOT(ISERROR(SEARCH("RED FLAG",I79)))</formula>
    </cfRule>
  </conditionalFormatting>
  <conditionalFormatting sqref="G198 G191 G184 G177 G170 G161 G154 G145 G138 G131 G124 G117 G110 G103 G81 G59 G50 G43">
    <cfRule type="cellIs" dxfId="921" priority="185" stopIfTrue="1" operator="lessThan">
      <formula>0.5</formula>
    </cfRule>
    <cfRule type="cellIs" dxfId="920" priority="186" stopIfTrue="1" operator="between">
      <formula>0.5</formula>
      <formula>0.75</formula>
    </cfRule>
    <cfRule type="cellIs" dxfId="919" priority="187" stopIfTrue="1" operator="greaterThan">
      <formula>0.75</formula>
    </cfRule>
  </conditionalFormatting>
  <conditionalFormatting sqref="G198 G191 G184 G177 G170 G161 G154 G145 G138 G131 G124 G117 G110 G103 G81 G59 G50 G43">
    <cfRule type="containsText" dxfId="918" priority="184" stopIfTrue="1" operator="containsText" text="RED FLAG">
      <formula>NOT(ISERROR(SEARCH("RED FLAG",G43)))</formula>
    </cfRule>
  </conditionalFormatting>
  <conditionalFormatting sqref="C10">
    <cfRule type="cellIs" dxfId="917" priority="181" stopIfTrue="1" operator="greaterThanOrEqual">
      <formula>0.8</formula>
    </cfRule>
    <cfRule type="cellIs" dxfId="916" priority="182" stopIfTrue="1" operator="between">
      <formula>0.5</formula>
      <formula>0.799</formula>
    </cfRule>
    <cfRule type="cellIs" dxfId="915" priority="183" stopIfTrue="1" operator="lessThan">
      <formula>0.5</formula>
    </cfRule>
  </conditionalFormatting>
  <conditionalFormatting sqref="C4:C8">
    <cfRule type="cellIs" dxfId="914" priority="178" operator="greaterThan">
      <formula>0.75</formula>
    </cfRule>
    <cfRule type="cellIs" dxfId="913" priority="179" operator="between">
      <formula>0.5</formula>
      <formula>0.75</formula>
    </cfRule>
    <cfRule type="cellIs" dxfId="912" priority="180" operator="lessThan">
      <formula>0.5</formula>
    </cfRule>
  </conditionalFormatting>
  <conditionalFormatting sqref="G208:G212">
    <cfRule type="cellIs" dxfId="911" priority="175" stopIfTrue="1" operator="lessThan">
      <formula>0.5</formula>
    </cfRule>
    <cfRule type="cellIs" dxfId="910" priority="176" stopIfTrue="1" operator="between">
      <formula>0.5</formula>
      <formula>0.75</formula>
    </cfRule>
    <cfRule type="cellIs" dxfId="909" priority="177" stopIfTrue="1" operator="greaterThan">
      <formula>0.75</formula>
    </cfRule>
  </conditionalFormatting>
  <conditionalFormatting sqref="G208:G212">
    <cfRule type="containsText" dxfId="908" priority="174" stopIfTrue="1" operator="containsText" text="RED FLAG">
      <formula>NOT(ISERROR(SEARCH("RED FLAG",G208)))</formula>
    </cfRule>
  </conditionalFormatting>
  <conditionalFormatting sqref="C234">
    <cfRule type="cellIs" dxfId="907" priority="155" stopIfTrue="1" operator="greaterThanOrEqual">
      <formula>0.8</formula>
    </cfRule>
    <cfRule type="cellIs" dxfId="906" priority="156" stopIfTrue="1" operator="between">
      <formula>0.5</formula>
      <formula>0.799</formula>
    </cfRule>
    <cfRule type="cellIs" dxfId="905" priority="157" stopIfTrue="1" operator="lessThan">
      <formula>0.5</formula>
    </cfRule>
  </conditionalFormatting>
  <conditionalFormatting sqref="G236:G244">
    <cfRule type="cellIs" dxfId="904" priority="127" stopIfTrue="1" operator="lessThan">
      <formula>0.5</formula>
    </cfRule>
    <cfRule type="cellIs" dxfId="903" priority="128" stopIfTrue="1" operator="between">
      <formula>0.5</formula>
      <formula>0.75</formula>
    </cfRule>
    <cfRule type="cellIs" dxfId="902" priority="129" stopIfTrue="1" operator="greaterThan">
      <formula>0.75</formula>
    </cfRule>
  </conditionalFormatting>
  <conditionalFormatting sqref="G236:G244">
    <cfRule type="containsText" dxfId="901" priority="126" stopIfTrue="1" operator="containsText" text="RED FLAG">
      <formula>NOT(ISERROR(SEARCH("RED FLAG",G236)))</formula>
    </cfRule>
  </conditionalFormatting>
  <conditionalFormatting sqref="G22:G27">
    <cfRule type="cellIs" dxfId="900" priority="119" stopIfTrue="1" operator="lessThan">
      <formula>0.5</formula>
    </cfRule>
    <cfRule type="cellIs" dxfId="899" priority="120" stopIfTrue="1" operator="between">
      <formula>0.5</formula>
      <formula>0.75</formula>
    </cfRule>
    <cfRule type="cellIs" dxfId="898" priority="121" stopIfTrue="1" operator="greaterThan">
      <formula>0.75</formula>
    </cfRule>
  </conditionalFormatting>
  <conditionalFormatting sqref="G22:G27">
    <cfRule type="containsText" dxfId="897" priority="118" stopIfTrue="1" operator="containsText" text="RED FLAG">
      <formula>NOT(ISERROR(SEARCH("RED FLAG",G22)))</formula>
    </cfRule>
  </conditionalFormatting>
  <conditionalFormatting sqref="G22:G27">
    <cfRule type="cellIs" dxfId="896" priority="115" stopIfTrue="1" operator="lessThan">
      <formula>0.5</formula>
    </cfRule>
    <cfRule type="cellIs" dxfId="895" priority="116" stopIfTrue="1" operator="between">
      <formula>0.5</formula>
      <formula>0.75</formula>
    </cfRule>
    <cfRule type="cellIs" dxfId="894" priority="117" stopIfTrue="1" operator="greaterThan">
      <formula>0.75</formula>
    </cfRule>
  </conditionalFormatting>
  <conditionalFormatting sqref="G35:G39">
    <cfRule type="cellIs" dxfId="893" priority="112" stopIfTrue="1" operator="lessThan">
      <formula>0.5</formula>
    </cfRule>
    <cfRule type="cellIs" dxfId="892" priority="113" stopIfTrue="1" operator="between">
      <formula>0.5</formula>
      <formula>0.75</formula>
    </cfRule>
    <cfRule type="cellIs" dxfId="891" priority="114" stopIfTrue="1" operator="greaterThan">
      <formula>0.75</formula>
    </cfRule>
  </conditionalFormatting>
  <conditionalFormatting sqref="G35:G39">
    <cfRule type="containsText" dxfId="890" priority="111" stopIfTrue="1" operator="containsText" text="RED FLAG">
      <formula>NOT(ISERROR(SEARCH("RED FLAG",G35)))</formula>
    </cfRule>
  </conditionalFormatting>
  <conditionalFormatting sqref="G35:G39">
    <cfRule type="cellIs" dxfId="889" priority="108" stopIfTrue="1" operator="lessThan">
      <formula>0.5</formula>
    </cfRule>
    <cfRule type="cellIs" dxfId="888" priority="109" stopIfTrue="1" operator="between">
      <formula>0.5</formula>
      <formula>0.75</formula>
    </cfRule>
    <cfRule type="cellIs" dxfId="887" priority="110" stopIfTrue="1" operator="greaterThan">
      <formula>0.75</formula>
    </cfRule>
  </conditionalFormatting>
  <conditionalFormatting sqref="G40">
    <cfRule type="cellIs" dxfId="886" priority="105" stopIfTrue="1" operator="lessThan">
      <formula>0.5</formula>
    </cfRule>
    <cfRule type="cellIs" dxfId="885" priority="106" stopIfTrue="1" operator="between">
      <formula>0.5</formula>
      <formula>0.75</formula>
    </cfRule>
    <cfRule type="cellIs" dxfId="884" priority="107" stopIfTrue="1" operator="greaterThan">
      <formula>0.75</formula>
    </cfRule>
  </conditionalFormatting>
  <conditionalFormatting sqref="G40">
    <cfRule type="containsText" dxfId="883" priority="104" stopIfTrue="1" operator="containsText" text="RED FLAG">
      <formula>NOT(ISERROR(SEARCH("RED FLAG",G40)))</formula>
    </cfRule>
  </conditionalFormatting>
  <conditionalFormatting sqref="G44:G48">
    <cfRule type="cellIs" dxfId="882" priority="101" stopIfTrue="1" operator="lessThan">
      <formula>0.5</formula>
    </cfRule>
    <cfRule type="cellIs" dxfId="881" priority="102" stopIfTrue="1" operator="between">
      <formula>0.5</formula>
      <formula>0.75</formula>
    </cfRule>
    <cfRule type="cellIs" dxfId="880" priority="103" stopIfTrue="1" operator="greaterThan">
      <formula>0.75</formula>
    </cfRule>
  </conditionalFormatting>
  <conditionalFormatting sqref="G44:G48">
    <cfRule type="containsText" dxfId="879" priority="100" stopIfTrue="1" operator="containsText" text="RED FLAG">
      <formula>NOT(ISERROR(SEARCH("RED FLAG",G44)))</formula>
    </cfRule>
  </conditionalFormatting>
  <conditionalFormatting sqref="G44:G48">
    <cfRule type="cellIs" dxfId="878" priority="97" stopIfTrue="1" operator="lessThan">
      <formula>0.5</formula>
    </cfRule>
    <cfRule type="cellIs" dxfId="877" priority="98" stopIfTrue="1" operator="between">
      <formula>0.5</formula>
      <formula>0.75</formula>
    </cfRule>
    <cfRule type="cellIs" dxfId="876" priority="99" stopIfTrue="1" operator="greaterThan">
      <formula>0.75</formula>
    </cfRule>
  </conditionalFormatting>
  <conditionalFormatting sqref="G51:G55">
    <cfRule type="cellIs" dxfId="875" priority="94" stopIfTrue="1" operator="lessThan">
      <formula>0.5</formula>
    </cfRule>
    <cfRule type="cellIs" dxfId="874" priority="95" stopIfTrue="1" operator="between">
      <formula>0.5</formula>
      <formula>0.75</formula>
    </cfRule>
    <cfRule type="cellIs" dxfId="873" priority="96" stopIfTrue="1" operator="greaterThan">
      <formula>0.75</formula>
    </cfRule>
  </conditionalFormatting>
  <conditionalFormatting sqref="G51:G55">
    <cfRule type="containsText" dxfId="872" priority="93" stopIfTrue="1" operator="containsText" text="RED FLAG">
      <formula>NOT(ISERROR(SEARCH("RED FLAG",G51)))</formula>
    </cfRule>
  </conditionalFormatting>
  <conditionalFormatting sqref="G51:G55">
    <cfRule type="cellIs" dxfId="871" priority="90" stopIfTrue="1" operator="lessThan">
      <formula>0.5</formula>
    </cfRule>
    <cfRule type="cellIs" dxfId="870" priority="91" stopIfTrue="1" operator="between">
      <formula>0.5</formula>
      <formula>0.75</formula>
    </cfRule>
    <cfRule type="cellIs" dxfId="869" priority="92" stopIfTrue="1" operator="greaterThan">
      <formula>0.75</formula>
    </cfRule>
  </conditionalFormatting>
  <conditionalFormatting sqref="G60:G64">
    <cfRule type="cellIs" dxfId="868" priority="87" stopIfTrue="1" operator="lessThan">
      <formula>0.5</formula>
    </cfRule>
    <cfRule type="cellIs" dxfId="867" priority="88" stopIfTrue="1" operator="between">
      <formula>0.5</formula>
      <formula>0.75</formula>
    </cfRule>
    <cfRule type="cellIs" dxfId="866" priority="89" stopIfTrue="1" operator="greaterThan">
      <formula>0.75</formula>
    </cfRule>
  </conditionalFormatting>
  <conditionalFormatting sqref="G60:G64">
    <cfRule type="containsText" dxfId="865" priority="86" stopIfTrue="1" operator="containsText" text="RED FLAG">
      <formula>NOT(ISERROR(SEARCH("RED FLAG",G60)))</formula>
    </cfRule>
  </conditionalFormatting>
  <conditionalFormatting sqref="G60:G64">
    <cfRule type="cellIs" dxfId="864" priority="83" stopIfTrue="1" operator="lessThan">
      <formula>0.5</formula>
    </cfRule>
    <cfRule type="cellIs" dxfId="863" priority="84" stopIfTrue="1" operator="between">
      <formula>0.5</formula>
      <formula>0.75</formula>
    </cfRule>
    <cfRule type="cellIs" dxfId="862" priority="85" stopIfTrue="1" operator="greaterThan">
      <formula>0.75</formula>
    </cfRule>
  </conditionalFormatting>
  <conditionalFormatting sqref="G67:G71">
    <cfRule type="cellIs" dxfId="861" priority="80" stopIfTrue="1" operator="lessThan">
      <formula>0.5</formula>
    </cfRule>
    <cfRule type="cellIs" dxfId="860" priority="81" stopIfTrue="1" operator="between">
      <formula>0.5</formula>
      <formula>0.75</formula>
    </cfRule>
    <cfRule type="cellIs" dxfId="859" priority="82" stopIfTrue="1" operator="greaterThan">
      <formula>0.75</formula>
    </cfRule>
  </conditionalFormatting>
  <conditionalFormatting sqref="G67:G71">
    <cfRule type="containsText" dxfId="858" priority="79" stopIfTrue="1" operator="containsText" text="RED FLAG">
      <formula>NOT(ISERROR(SEARCH("RED FLAG",G67)))</formula>
    </cfRule>
  </conditionalFormatting>
  <conditionalFormatting sqref="G67:G71">
    <cfRule type="cellIs" dxfId="857" priority="76" stopIfTrue="1" operator="lessThan">
      <formula>0.5</formula>
    </cfRule>
    <cfRule type="cellIs" dxfId="856" priority="77" stopIfTrue="1" operator="between">
      <formula>0.5</formula>
      <formula>0.75</formula>
    </cfRule>
    <cfRule type="cellIs" dxfId="855" priority="78" stopIfTrue="1" operator="greaterThan">
      <formula>0.75</formula>
    </cfRule>
  </conditionalFormatting>
  <conditionalFormatting sqref="G74:G78">
    <cfRule type="cellIs" dxfId="854" priority="69" stopIfTrue="1" operator="lessThan">
      <formula>0.5</formula>
    </cfRule>
    <cfRule type="cellIs" dxfId="853" priority="70" stopIfTrue="1" operator="between">
      <formula>0.5</formula>
      <formula>0.75</formula>
    </cfRule>
    <cfRule type="cellIs" dxfId="852" priority="71" stopIfTrue="1" operator="greaterThan">
      <formula>0.75</formula>
    </cfRule>
  </conditionalFormatting>
  <conditionalFormatting sqref="G74:G78">
    <cfRule type="containsText" dxfId="851" priority="68" stopIfTrue="1" operator="containsText" text="RED FLAG">
      <formula>NOT(ISERROR(SEARCH("RED FLAG",G74)))</formula>
    </cfRule>
  </conditionalFormatting>
  <conditionalFormatting sqref="G74:G78">
    <cfRule type="cellIs" dxfId="850" priority="65" stopIfTrue="1" operator="lessThan">
      <formula>0.5</formula>
    </cfRule>
    <cfRule type="cellIs" dxfId="849" priority="66" stopIfTrue="1" operator="between">
      <formula>0.5</formula>
      <formula>0.75</formula>
    </cfRule>
    <cfRule type="cellIs" dxfId="848" priority="67" stopIfTrue="1" operator="greaterThan">
      <formula>0.75</formula>
    </cfRule>
  </conditionalFormatting>
  <conditionalFormatting sqref="G82:G86">
    <cfRule type="cellIs" dxfId="847" priority="62" stopIfTrue="1" operator="lessThan">
      <formula>0.5</formula>
    </cfRule>
    <cfRule type="cellIs" dxfId="846" priority="63" stopIfTrue="1" operator="between">
      <formula>0.5</formula>
      <formula>0.75</formula>
    </cfRule>
    <cfRule type="cellIs" dxfId="845" priority="64" stopIfTrue="1" operator="greaterThan">
      <formula>0.75</formula>
    </cfRule>
  </conditionalFormatting>
  <conditionalFormatting sqref="G82:G86">
    <cfRule type="containsText" dxfId="844" priority="61" stopIfTrue="1" operator="containsText" text="RED FLAG">
      <formula>NOT(ISERROR(SEARCH("RED FLAG",G82)))</formula>
    </cfRule>
  </conditionalFormatting>
  <conditionalFormatting sqref="G82:G86">
    <cfRule type="cellIs" dxfId="843" priority="58" stopIfTrue="1" operator="lessThan">
      <formula>0.5</formula>
    </cfRule>
    <cfRule type="cellIs" dxfId="842" priority="59" stopIfTrue="1" operator="between">
      <formula>0.5</formula>
      <formula>0.75</formula>
    </cfRule>
    <cfRule type="cellIs" dxfId="841" priority="60" stopIfTrue="1" operator="greaterThan">
      <formula>0.75</formula>
    </cfRule>
  </conditionalFormatting>
  <conditionalFormatting sqref="G90:G94">
    <cfRule type="cellIs" dxfId="840" priority="55" stopIfTrue="1" operator="lessThan">
      <formula>0.5</formula>
    </cfRule>
    <cfRule type="cellIs" dxfId="839" priority="56" stopIfTrue="1" operator="between">
      <formula>0.5</formula>
      <formula>0.75</formula>
    </cfRule>
    <cfRule type="cellIs" dxfId="838" priority="57" stopIfTrue="1" operator="greaterThan">
      <formula>0.75</formula>
    </cfRule>
  </conditionalFormatting>
  <conditionalFormatting sqref="G90:G94">
    <cfRule type="containsText" dxfId="837" priority="54" stopIfTrue="1" operator="containsText" text="RED FLAG">
      <formula>NOT(ISERROR(SEARCH("RED FLAG",G90)))</formula>
    </cfRule>
  </conditionalFormatting>
  <conditionalFormatting sqref="G90:G94">
    <cfRule type="cellIs" dxfId="836" priority="51" stopIfTrue="1" operator="lessThan">
      <formula>0.5</formula>
    </cfRule>
    <cfRule type="cellIs" dxfId="835" priority="52" stopIfTrue="1" operator="between">
      <formula>0.5</formula>
      <formula>0.75</formula>
    </cfRule>
    <cfRule type="cellIs" dxfId="834" priority="53" stopIfTrue="1" operator="greaterThan">
      <formula>0.75</formula>
    </cfRule>
  </conditionalFormatting>
  <conditionalFormatting sqref="G97:G101">
    <cfRule type="cellIs" dxfId="833" priority="44" stopIfTrue="1" operator="lessThan">
      <formula>0.5</formula>
    </cfRule>
    <cfRule type="cellIs" dxfId="832" priority="45" stopIfTrue="1" operator="between">
      <formula>0.5</formula>
      <formula>0.75</formula>
    </cfRule>
    <cfRule type="cellIs" dxfId="831" priority="46" stopIfTrue="1" operator="greaterThan">
      <formula>0.75</formula>
    </cfRule>
  </conditionalFormatting>
  <conditionalFormatting sqref="G97:G101">
    <cfRule type="containsText" dxfId="830" priority="43" stopIfTrue="1" operator="containsText" text="RED FLAG">
      <formula>NOT(ISERROR(SEARCH("RED FLAG",G97)))</formula>
    </cfRule>
  </conditionalFormatting>
  <conditionalFormatting sqref="G97:G101">
    <cfRule type="cellIs" dxfId="829" priority="40" stopIfTrue="1" operator="lessThan">
      <formula>0.5</formula>
    </cfRule>
    <cfRule type="cellIs" dxfId="828" priority="41" stopIfTrue="1" operator="between">
      <formula>0.5</formula>
      <formula>0.75</formula>
    </cfRule>
    <cfRule type="cellIs" dxfId="827" priority="42" stopIfTrue="1" operator="greaterThan">
      <formula>0.75</formula>
    </cfRule>
  </conditionalFormatting>
  <conditionalFormatting sqref="G104:G108 G111:G115 G118:G122 G125:G129">
    <cfRule type="cellIs" dxfId="826" priority="37" stopIfTrue="1" operator="lessThan">
      <formula>0.5</formula>
    </cfRule>
    <cfRule type="cellIs" dxfId="825" priority="38" stopIfTrue="1" operator="between">
      <formula>0.5</formula>
      <formula>0.75</formula>
    </cfRule>
    <cfRule type="cellIs" dxfId="824" priority="39" stopIfTrue="1" operator="greaterThan">
      <formula>0.75</formula>
    </cfRule>
  </conditionalFormatting>
  <conditionalFormatting sqref="G104:G108 G111:G115 G118:G122 G125:G129">
    <cfRule type="containsText" dxfId="823" priority="36" stopIfTrue="1" operator="containsText" text="RED FLAG">
      <formula>NOT(ISERROR(SEARCH("RED FLAG",G104)))</formula>
    </cfRule>
  </conditionalFormatting>
  <conditionalFormatting sqref="G104:G108 G111:G115 G118:G122 G125:G129">
    <cfRule type="cellIs" dxfId="822" priority="33" stopIfTrue="1" operator="lessThan">
      <formula>0.5</formula>
    </cfRule>
    <cfRule type="cellIs" dxfId="821" priority="34" stopIfTrue="1" operator="between">
      <formula>0.5</formula>
      <formula>0.75</formula>
    </cfRule>
    <cfRule type="cellIs" dxfId="820" priority="35" stopIfTrue="1" operator="greaterThan">
      <formula>0.75</formula>
    </cfRule>
  </conditionalFormatting>
  <conditionalFormatting sqref="G132:G136 G139:G143 G146:G150">
    <cfRule type="cellIs" dxfId="819" priority="30" stopIfTrue="1" operator="lessThan">
      <formula>0.5</formula>
    </cfRule>
    <cfRule type="cellIs" dxfId="818" priority="31" stopIfTrue="1" operator="between">
      <formula>0.5</formula>
      <formula>0.75</formula>
    </cfRule>
    <cfRule type="cellIs" dxfId="817" priority="32" stopIfTrue="1" operator="greaterThan">
      <formula>0.75</formula>
    </cfRule>
  </conditionalFormatting>
  <conditionalFormatting sqref="G132:G136 G139:G143 G146:G150">
    <cfRule type="containsText" dxfId="816" priority="29" stopIfTrue="1" operator="containsText" text="RED FLAG">
      <formula>NOT(ISERROR(SEARCH("RED FLAG",G132)))</formula>
    </cfRule>
  </conditionalFormatting>
  <conditionalFormatting sqref="G132:G136 G139:G143 G146:G150">
    <cfRule type="cellIs" dxfId="815" priority="26" stopIfTrue="1" operator="lessThan">
      <formula>0.5</formula>
    </cfRule>
    <cfRule type="cellIs" dxfId="814" priority="27" stopIfTrue="1" operator="between">
      <formula>0.5</formula>
      <formula>0.75</formula>
    </cfRule>
    <cfRule type="cellIs" dxfId="813" priority="28" stopIfTrue="1" operator="greaterThan">
      <formula>0.75</formula>
    </cfRule>
  </conditionalFormatting>
  <conditionalFormatting sqref="G155:G159 G162:G166">
    <cfRule type="cellIs" dxfId="812" priority="23" stopIfTrue="1" operator="lessThan">
      <formula>0.5</formula>
    </cfRule>
    <cfRule type="cellIs" dxfId="811" priority="24" stopIfTrue="1" operator="between">
      <formula>0.5</formula>
      <formula>0.75</formula>
    </cfRule>
    <cfRule type="cellIs" dxfId="810" priority="25" stopIfTrue="1" operator="greaterThan">
      <formula>0.75</formula>
    </cfRule>
  </conditionalFormatting>
  <conditionalFormatting sqref="G155:G159 G162:G166">
    <cfRule type="containsText" dxfId="809" priority="22" stopIfTrue="1" operator="containsText" text="RED FLAG">
      <formula>NOT(ISERROR(SEARCH("RED FLAG",G155)))</formula>
    </cfRule>
  </conditionalFormatting>
  <conditionalFormatting sqref="G155:G159 G162:G166">
    <cfRule type="cellIs" dxfId="808" priority="19" stopIfTrue="1" operator="lessThan">
      <formula>0.5</formula>
    </cfRule>
    <cfRule type="cellIs" dxfId="807" priority="20" stopIfTrue="1" operator="between">
      <formula>0.5</formula>
      <formula>0.75</formula>
    </cfRule>
    <cfRule type="cellIs" dxfId="806" priority="21" stopIfTrue="1" operator="greaterThan">
      <formula>0.75</formula>
    </cfRule>
  </conditionalFormatting>
  <conditionalFormatting sqref="G171:G175 G178:G182 G185:G189 G192:G196 G199:G203">
    <cfRule type="cellIs" dxfId="805" priority="16" stopIfTrue="1" operator="lessThan">
      <formula>0.5</formula>
    </cfRule>
    <cfRule type="cellIs" dxfId="804" priority="17" stopIfTrue="1" operator="between">
      <formula>0.5</formula>
      <formula>0.75</formula>
    </cfRule>
    <cfRule type="cellIs" dxfId="803" priority="18" stopIfTrue="1" operator="greaterThan">
      <formula>0.75</formula>
    </cfRule>
  </conditionalFormatting>
  <conditionalFormatting sqref="G171:G175 G178:G182 G185:G189 G192:G196 G199:G203">
    <cfRule type="containsText" dxfId="802" priority="15" stopIfTrue="1" operator="containsText" text="RED FLAG">
      <formula>NOT(ISERROR(SEARCH("RED FLAG",G171)))</formula>
    </cfRule>
  </conditionalFormatting>
  <conditionalFormatting sqref="G171:G175 G178:G182 G185:G189 G192:G196 G199:G203">
    <cfRule type="cellIs" dxfId="801" priority="12" stopIfTrue="1" operator="lessThan">
      <formula>0.5</formula>
    </cfRule>
    <cfRule type="cellIs" dxfId="800" priority="13" stopIfTrue="1" operator="between">
      <formula>0.5</formula>
      <formula>0.75</formula>
    </cfRule>
    <cfRule type="cellIs" dxfId="799" priority="14" stopIfTrue="1" operator="greaterThan">
      <formula>0.75</formula>
    </cfRule>
  </conditionalFormatting>
  <conditionalFormatting sqref="G223:G227">
    <cfRule type="cellIs" dxfId="798" priority="9" stopIfTrue="1" operator="lessThan">
      <formula>0.5</formula>
    </cfRule>
    <cfRule type="cellIs" dxfId="797" priority="10" stopIfTrue="1" operator="between">
      <formula>0.5</formula>
      <formula>0.75</formula>
    </cfRule>
    <cfRule type="cellIs" dxfId="796" priority="11" stopIfTrue="1" operator="greaterThan">
      <formula>0.75</formula>
    </cfRule>
  </conditionalFormatting>
  <conditionalFormatting sqref="G223:G227">
    <cfRule type="containsText" dxfId="795" priority="8" stopIfTrue="1" operator="containsText" text="RED FLAG">
      <formula>NOT(ISERROR(SEARCH("RED FLAG",G223)))</formula>
    </cfRule>
  </conditionalFormatting>
  <conditionalFormatting sqref="G228:G230 G232">
    <cfRule type="cellIs" dxfId="794" priority="5" stopIfTrue="1" operator="lessThan">
      <formula>0.5</formula>
    </cfRule>
    <cfRule type="cellIs" dxfId="793" priority="6" stopIfTrue="1" operator="between">
      <formula>0.5</formula>
      <formula>0.75</formula>
    </cfRule>
    <cfRule type="cellIs" dxfId="792" priority="7" stopIfTrue="1" operator="greaterThan">
      <formula>0.75</formula>
    </cfRule>
  </conditionalFormatting>
  <conditionalFormatting sqref="G235">
    <cfRule type="cellIs" dxfId="791" priority="2" stopIfTrue="1" operator="lessThan">
      <formula>0.5</formula>
    </cfRule>
    <cfRule type="cellIs" dxfId="790" priority="3" stopIfTrue="1" operator="between">
      <formula>0.5</formula>
      <formula>0.75</formula>
    </cfRule>
    <cfRule type="cellIs" dxfId="789" priority="4" stopIfTrue="1" operator="greaterThan">
      <formula>0.75</formula>
    </cfRule>
  </conditionalFormatting>
  <conditionalFormatting sqref="G235">
    <cfRule type="containsText" dxfId="788" priority="1" stopIfTrue="1" operator="containsText" text="RED FLAG">
      <formula>NOT(ISERROR(SEARCH("RED FLAG",G235)))</formula>
    </cfRule>
  </conditionalFormatting>
  <dataValidations count="6">
    <dataValidation type="list" allowBlank="1" showInputMessage="1" showErrorMessage="1" sqref="C18 C208:C212 C40 C29 C223:C227" xr:uid="{00000000-0002-0000-0E00-000000000000}">
      <formula1>"1,2,3,NA"</formula1>
    </dataValidation>
    <dataValidation type="list" allowBlank="1" showInputMessage="1" showErrorMessage="1" sqref="C192:C196 C13:C17 C35:C39 C44:C48 C60:C64 C22:C26 C67:C71 C146:C150 C74:C79 C51:C55 C97:C101 C104:C108 C111:C115 C118:C122 C125:C129 C132:C136 C139:C143 C218 C155:C159 C162:C166 C171:C175 C178:C182 C185:C189 C199:C203 C82:C86 C90:C94 C232 C228:C230 C213:C216" xr:uid="{00000000-0002-0000-0E00-000001000000}">
      <formula1>"Yes,No,NA"</formula1>
    </dataValidation>
    <dataValidation type="list" allowBlank="1" showInputMessage="1" showErrorMessage="1" sqref="C27" xr:uid="{00000000-0002-0000-0E00-000002000000}">
      <formula1>"1,2,3,4,NA"</formula1>
    </dataValidation>
    <dataValidation type="list" allowBlank="1" showInputMessage="1" showErrorMessage="1" sqref="C217" xr:uid="{00000000-0002-0000-0E00-000003000000}">
      <formula1>"Yes,No,NA,Don't know"</formula1>
    </dataValidation>
    <dataValidation type="list" allowBlank="1" showInputMessage="1" showErrorMessage="1" sqref="C12 C21 C177 C184 C198 C59 C66 C73 C81 C89 C96 C110 C117 C124 C191 C131 C138 C145 C103 C154 C161 C170 C34 C43 C50" xr:uid="{00000000-0002-0000-0E00-000004000000}">
      <formula1>"Yes,No"</formula1>
    </dataValidation>
    <dataValidation type="list" allowBlank="1" showInputMessage="1" showErrorMessage="1" sqref="C236:C244" xr:uid="{00000000-0002-0000-0E00-000005000000}">
      <formula1>"1,2,3"</formula1>
    </dataValidation>
  </dataValidations>
  <pageMargins left="0.25" right="0.25" top="0.75000000000000011" bottom="0.75000000000000011" header="0.30000000000000004" footer="0.30000000000000004"/>
  <pageSetup paperSize="9" scale="91" fitToHeight="10" orientation="landscape" r:id="rId1"/>
  <headerFooter>
    <oddFooter>&amp;C&amp;A -&amp;P</oddFooter>
  </headerFooter>
  <rowBreaks count="11" manualBreakCount="11">
    <brk id="26" max="4" man="1"/>
    <brk id="48" max="4" man="1"/>
    <brk id="71" max="4" man="1"/>
    <brk id="94" max="4" man="1"/>
    <brk id="115" max="4" man="1"/>
    <brk id="136" max="4" man="1"/>
    <brk id="150" max="4" man="1"/>
    <brk id="175" max="4" man="1"/>
    <brk id="196" max="4" man="1"/>
    <brk id="218" max="4" man="1"/>
    <brk id="232"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0070C0"/>
    <pageSetUpPr fitToPage="1"/>
  </sheetPr>
  <dimension ref="A1:K95"/>
  <sheetViews>
    <sheetView zoomScaleNormal="100" zoomScaleSheetLayoutView="100" zoomScalePageLayoutView="80" workbookViewId="0">
      <selection activeCell="C4" sqref="C4"/>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3.69921875" style="22" hidden="1" customWidth="1"/>
    <col min="6" max="6" width="5.19921875" style="28" hidden="1" customWidth="1"/>
    <col min="7" max="7" width="5.19921875" style="22" customWidth="1"/>
    <col min="8" max="8" width="37.69921875" style="72" customWidth="1"/>
    <col min="9" max="9" width="9.69921875" style="28" customWidth="1"/>
    <col min="10" max="16384" width="11" style="22"/>
  </cols>
  <sheetData>
    <row r="1" spans="1:11">
      <c r="A1" s="10"/>
      <c r="B1" s="43" t="str">
        <f>Language!A1339</f>
        <v>11- ANTIMICROBIAL SUSCEPTIBILITY TESTING (AST) BASICS</v>
      </c>
      <c r="C1" s="52" t="str">
        <f>IF(COUNT(G3:G152)=0,"???",AVERAGE(G3:G152))</f>
        <v>???</v>
      </c>
      <c r="H1" s="199" t="str">
        <f>'Facility 1'!H1</f>
        <v>Comments</v>
      </c>
    </row>
    <row r="2" spans="1:11" ht="16.2" thickBot="1">
      <c r="A2" s="10"/>
      <c r="B2" s="210" t="str">
        <f>Language!A1340</f>
        <v>Please note: all questions refer only to clinical patient isolates, NOT to research or environmental isolates</v>
      </c>
      <c r="C2" s="19"/>
      <c r="H2" s="200"/>
    </row>
    <row r="3" spans="1:11" ht="16.2" thickBot="1">
      <c r="A3" s="166"/>
      <c r="B3" s="34" t="str">
        <f>Language!A1341</f>
        <v>ANTIBIOTIC DISK AND GRADIENT STRIPS MAINTENANCE</v>
      </c>
      <c r="C3" s="44" t="str">
        <f>IF(COUNTBLANK(C4:C13)=10,"???",IF(COUNT(G4:G13)=0,"NA",AVERAGE(G4:G13)))</f>
        <v>???</v>
      </c>
      <c r="H3" s="446"/>
    </row>
    <row r="4" spans="1:11" ht="27.6" customHeight="1">
      <c r="A4" s="77" t="s">
        <v>1355</v>
      </c>
      <c r="B4" s="20" t="str">
        <f>Language!A1342</f>
        <v>Do the antibiotic disks and strips come with a certificate of analysis from the manufacturer ensuring that they were tested and performed according to ISO quality standards?</v>
      </c>
      <c r="C4" s="27"/>
      <c r="F4" s="29">
        <f t="shared" ref="F4:F13" si="0">C4</f>
        <v>0</v>
      </c>
      <c r="G4" s="18" t="str">
        <f>IF(F4="Yes",1,IF(F4="No",0,"'"))</f>
        <v>'</v>
      </c>
      <c r="H4" s="450"/>
    </row>
    <row r="5" spans="1:11" ht="27.6" customHeight="1">
      <c r="A5" s="77" t="s">
        <v>1356</v>
      </c>
      <c r="B5" s="20" t="str">
        <f>Language!A1343</f>
        <v>Are the packages not currently in use stored unopened and in their original packaging in order to prevent moisture ingress?</v>
      </c>
      <c r="C5" s="27"/>
      <c r="F5" s="29">
        <f t="shared" si="0"/>
        <v>0</v>
      </c>
      <c r="G5" s="18" t="str">
        <f t="shared" ref="G5:G13" si="1">IF(F5="Yes",1,IF(F5="No",0,"'"))</f>
        <v>'</v>
      </c>
      <c r="H5" s="450"/>
    </row>
    <row r="6" spans="1:11">
      <c r="A6" s="77" t="s">
        <v>1357</v>
      </c>
      <c r="B6" s="20" t="str">
        <f>Language!A1344</f>
        <v>Are unopened antibiotic disks and strips stored in a non-defrosting freezer?</v>
      </c>
      <c r="C6" s="27"/>
      <c r="F6" s="29">
        <f t="shared" si="0"/>
        <v>0</v>
      </c>
      <c r="G6" s="18" t="str">
        <f t="shared" si="1"/>
        <v>'</v>
      </c>
      <c r="H6" s="450"/>
    </row>
    <row r="7" spans="1:11" ht="27.6" customHeight="1">
      <c r="A7" s="77" t="s">
        <v>1358</v>
      </c>
      <c r="B7" s="129" t="str">
        <f>Language!A1345</f>
        <v>If the antibiotic disk cartridge has a cap, is the cap replaced each time the cartridge is opened?</v>
      </c>
      <c r="C7" s="27"/>
      <c r="F7" s="29">
        <f t="shared" si="0"/>
        <v>0</v>
      </c>
      <c r="G7" s="18" t="str">
        <f t="shared" si="1"/>
        <v>'</v>
      </c>
      <c r="H7" s="454"/>
    </row>
    <row r="8" spans="1:11" ht="55.2" customHeight="1">
      <c r="A8" s="77" t="s">
        <v>1359</v>
      </c>
      <c r="B8" s="20" t="str">
        <f>Language!A1346</f>
        <v>Once opened, are in-use antibiotic disks stored in such a way that the lot number and expiration date of each disk is always traceable? (When individual disks are removed and transferred to secondary containers, lot numbers may become mixed and expired disks may inadvertently be used.)</v>
      </c>
      <c r="C8" s="27"/>
      <c r="F8" s="29">
        <f t="shared" si="0"/>
        <v>0</v>
      </c>
      <c r="G8" s="18" t="str">
        <f t="shared" si="1"/>
        <v>'</v>
      </c>
      <c r="H8" s="450"/>
    </row>
    <row r="9" spans="1:11" ht="27.6" customHeight="1">
      <c r="A9" s="77" t="s">
        <v>1360</v>
      </c>
      <c r="B9" s="20" t="str">
        <f>Language!A1347</f>
        <v xml:space="preserve">Are the in-use antibiotic disks and strips stored in a tightly sealed container with active desiccants? </v>
      </c>
      <c r="C9" s="27"/>
      <c r="F9" s="29">
        <f t="shared" si="0"/>
        <v>0</v>
      </c>
      <c r="G9" s="18" t="str">
        <f t="shared" si="1"/>
        <v>'</v>
      </c>
      <c r="H9" s="450"/>
      <c r="I9" s="8"/>
      <c r="J9" s="212"/>
    </row>
    <row r="10" spans="1:11" ht="27.6" customHeight="1">
      <c r="A10" s="77" t="s">
        <v>1361</v>
      </c>
      <c r="B10" s="20" t="str">
        <f>Language!A1348</f>
        <v>Do the desiccants change color as moisture levels increase (indicating the need to replace or recharge)?</v>
      </c>
      <c r="C10" s="27"/>
      <c r="F10" s="29">
        <f t="shared" si="0"/>
        <v>0</v>
      </c>
      <c r="G10" s="18" t="str">
        <f t="shared" si="1"/>
        <v>'</v>
      </c>
      <c r="H10" s="450"/>
      <c r="J10" s="212"/>
    </row>
    <row r="11" spans="1:11" ht="27.6" customHeight="1">
      <c r="A11" s="77" t="s">
        <v>1362</v>
      </c>
      <c r="B11" s="129" t="str">
        <f>Language!A1349</f>
        <v xml:space="preserve">If desiccants do not have a color indicator, are colorless desiccants replaced at least monthly? </v>
      </c>
      <c r="C11" s="27"/>
      <c r="F11" s="29">
        <f t="shared" si="0"/>
        <v>0</v>
      </c>
      <c r="G11" s="18" t="str">
        <f t="shared" si="1"/>
        <v>'</v>
      </c>
      <c r="H11" s="454"/>
      <c r="J11" s="212"/>
    </row>
    <row r="12" spans="1:11" ht="27.6" customHeight="1">
      <c r="A12" s="77" t="s">
        <v>1363</v>
      </c>
      <c r="B12" s="20" t="str">
        <f>Language!A1350</f>
        <v>Are the containers holding open antibiotic disks/strips stored in a refrigerator or non-defrosting freezer when not in use?</v>
      </c>
      <c r="C12" s="27"/>
      <c r="F12" s="29">
        <f t="shared" si="0"/>
        <v>0</v>
      </c>
      <c r="G12" s="18" t="str">
        <f t="shared" si="1"/>
        <v>'</v>
      </c>
      <c r="H12" s="450"/>
    </row>
    <row r="13" spans="1:11" ht="27.6" customHeight="1">
      <c r="A13" s="77" t="s">
        <v>1364</v>
      </c>
      <c r="B13" s="20" t="str">
        <f>Language!A1351</f>
        <v>Are the containers holding open antibiotic disks/strips allowed to equilibrate to room temperature before opening to minimize condensation (typically 1 hour)</v>
      </c>
      <c r="C13" s="27"/>
      <c r="F13" s="29">
        <f t="shared" si="0"/>
        <v>0</v>
      </c>
      <c r="G13" s="18" t="str">
        <f t="shared" si="1"/>
        <v>'</v>
      </c>
      <c r="H13" s="450"/>
    </row>
    <row r="14" spans="1:11" ht="16.2" thickBot="1">
      <c r="A14" s="16"/>
      <c r="B14" s="471"/>
      <c r="C14" s="235"/>
      <c r="D14" s="514"/>
      <c r="E14" s="201"/>
      <c r="F14" s="201"/>
      <c r="G14" s="201"/>
      <c r="H14" s="471"/>
      <c r="I14" s="22"/>
      <c r="J14" s="201"/>
      <c r="K14" s="201"/>
    </row>
    <row r="15" spans="1:11" ht="16.2" thickBot="1">
      <c r="A15" s="166"/>
      <c r="B15" s="34" t="str">
        <f>Language!A1352</f>
        <v>INOCULUM PREPARATION</v>
      </c>
      <c r="C15" s="44" t="str">
        <f>IF(COUNTBLANK(C16:C24)=9,"???",IF(COUNT(G16:G24)=0,"NA",AVERAGE(G16:G24)))</f>
        <v>???</v>
      </c>
      <c r="E15" s="28"/>
      <c r="G15" s="28"/>
      <c r="H15" s="446"/>
    </row>
    <row r="16" spans="1:11" ht="27.6" customHeight="1">
      <c r="A16" s="120" t="s">
        <v>1365</v>
      </c>
      <c r="B16" s="8" t="str">
        <f>Language!A1353</f>
        <v>When preparing an inoculum using the colony suspension method, are colonies less than 18 hours old ever used?</v>
      </c>
      <c r="C16" s="27"/>
      <c r="F16" s="29">
        <f t="shared" ref="F16:F24" si="2">C16</f>
        <v>0</v>
      </c>
      <c r="G16" s="18" t="str">
        <f>IF(F16="No",1,IF(F16="Yes",0,"'"))</f>
        <v>'</v>
      </c>
      <c r="H16" s="450"/>
    </row>
    <row r="17" spans="1:9" ht="27.6" customHeight="1">
      <c r="A17" s="120" t="s">
        <v>1366</v>
      </c>
      <c r="B17" s="8" t="str">
        <f>Language!A1354</f>
        <v>When preparing an inoculum using the colony suspension method, are colonies more than 24 hours old ever used?</v>
      </c>
      <c r="C17" s="27"/>
      <c r="F17" s="29">
        <f t="shared" si="2"/>
        <v>0</v>
      </c>
      <c r="G17" s="18" t="str">
        <f>IF(F17="No",1,IF(F17="Yes",0,"'"))</f>
        <v>'</v>
      </c>
      <c r="H17" s="450"/>
    </row>
    <row r="18" spans="1:9" ht="27.6" customHeight="1">
      <c r="A18" s="120" t="s">
        <v>1367</v>
      </c>
      <c r="B18" s="8" t="str">
        <f>Language!A1355</f>
        <v xml:space="preserve">Observe an AST inoculum preparation. Do technologists use only individual, well-isolated colonies of the same morphological type? </v>
      </c>
      <c r="C18" s="27"/>
      <c r="F18" s="29">
        <f t="shared" si="2"/>
        <v>0</v>
      </c>
      <c r="G18" s="18" t="str">
        <f>IF(F18="Yes",1,IF(F18="No",0,"'"))</f>
        <v>'</v>
      </c>
      <c r="H18" s="450"/>
    </row>
    <row r="19" spans="1:9" ht="27.6" customHeight="1">
      <c r="A19" s="120" t="s">
        <v>1368</v>
      </c>
      <c r="B19" s="8" t="str">
        <f>Language!A1356</f>
        <v>Are colonies taken only from non-selective media, such as blood agar  ( MacConkey agar is acceptable)</v>
      </c>
      <c r="C19" s="27"/>
      <c r="F19" s="29">
        <f t="shared" si="2"/>
        <v>0</v>
      </c>
      <c r="G19" s="18" t="str">
        <f>IF(F19="Yes",1,IF(F19="No",0,"'"))</f>
        <v>'</v>
      </c>
      <c r="H19" s="450"/>
    </row>
    <row r="20" spans="1:9" ht="27.6" customHeight="1">
      <c r="A20" s="120" t="s">
        <v>1369</v>
      </c>
      <c r="B20" s="8" t="str">
        <f>Language!A1357</f>
        <v>Does the lab ever intentionally mix two different organisms in the same inoculum for AST?</v>
      </c>
      <c r="C20" s="27"/>
      <c r="F20" s="29">
        <f t="shared" si="2"/>
        <v>0</v>
      </c>
      <c r="G20" s="18" t="str">
        <f>IF(F20="No",1,IF(F20="Yes",0,"'"))</f>
        <v>'</v>
      </c>
      <c r="H20" s="450"/>
      <c r="I20" s="92" t="str">
        <f>IF(C20="Yes","Red Flag","'")</f>
        <v>'</v>
      </c>
    </row>
    <row r="21" spans="1:9">
      <c r="A21" s="120" t="s">
        <v>1370</v>
      </c>
      <c r="B21" s="8" t="str">
        <f>Language!A1358</f>
        <v>Is an appropriate, sterile inoculation medium (TSB or saline) used?</v>
      </c>
      <c r="C21" s="27"/>
      <c r="F21" s="29">
        <f t="shared" si="2"/>
        <v>0</v>
      </c>
      <c r="G21" s="18" t="str">
        <f>IF(F21="Yes",1,IF(F21="No",0,"'"))</f>
        <v>'</v>
      </c>
      <c r="H21" s="450"/>
    </row>
    <row r="22" spans="1:9" ht="27.6" customHeight="1">
      <c r="A22" s="120" t="s">
        <v>1371</v>
      </c>
      <c r="B22" s="8" t="str">
        <f>Language!A1359</f>
        <v>Do records indicate that the saline solution is tested for sterility on a regular basis? (Preferably at least weekly)</v>
      </c>
      <c r="C22" s="27"/>
      <c r="F22" s="29">
        <f t="shared" si="2"/>
        <v>0</v>
      </c>
      <c r="G22" s="18" t="str">
        <f t="shared" ref="G22:G23" si="3">IF(F22="Yes",1,IF(F22="No",0,"'"))</f>
        <v>'</v>
      </c>
      <c r="H22" s="450"/>
    </row>
    <row r="23" spans="1:9">
      <c r="A23" s="120" t="s">
        <v>1372</v>
      </c>
      <c r="B23" s="8" t="str">
        <f>Language!A1360</f>
        <v>Is the inoculum brought to a density equivalent to 0.5 McFarland?</v>
      </c>
      <c r="C23" s="27"/>
      <c r="F23" s="29">
        <f t="shared" si="2"/>
        <v>0</v>
      </c>
      <c r="G23" s="18" t="str">
        <f t="shared" si="3"/>
        <v>'</v>
      </c>
      <c r="H23" s="450"/>
    </row>
    <row r="24" spans="1:9">
      <c r="A24" s="120" t="s">
        <v>1373</v>
      </c>
      <c r="B24" s="8" t="str">
        <f>Language!A1361</f>
        <v>How is the inoculum density checked for accuracy?</v>
      </c>
      <c r="C24" s="27"/>
      <c r="F24" s="29">
        <f t="shared" si="2"/>
        <v>0</v>
      </c>
      <c r="G24" s="18" t="str">
        <f>IF(F24=1,1,IF(F24=2,0.75,IF(F24=3,0,"'")))</f>
        <v>'</v>
      </c>
      <c r="H24" s="450"/>
    </row>
    <row r="25" spans="1:9" ht="27.6" customHeight="1" thickBot="1">
      <c r="A25" s="10"/>
      <c r="B25" s="465" t="str">
        <f>Language!A1362</f>
        <v>1: Calibrated densitometer/turbidity meter - 2: Visual comparison to a 0.5 McFarland standard that is not expired (check date) - 3 : Neither of the above</v>
      </c>
      <c r="C25" s="22"/>
      <c r="F25" s="29"/>
      <c r="G25" s="18"/>
    </row>
    <row r="26" spans="1:9" ht="16.2" thickBot="1">
      <c r="A26" s="166"/>
      <c r="B26" s="34" t="str">
        <f>Language!A1363</f>
        <v>INOCULATION/INCUBATION</v>
      </c>
      <c r="C26" s="44" t="str">
        <f>IF(COUNTBLANK(C27:C46)=20,"???",IF(COUNT(G27:G46)=0,"NA",AVERAGE(G27:G46)))</f>
        <v>???</v>
      </c>
      <c r="E26" s="28"/>
      <c r="G26" s="28"/>
      <c r="H26" s="446"/>
    </row>
    <row r="27" spans="1:9">
      <c r="A27" s="77" t="s">
        <v>1374</v>
      </c>
      <c r="B27" s="13" t="str">
        <f>Language!A1364</f>
        <v>Does the lab ever use agar other than Mueller Hinton for AST of non-fastidious organisms?</v>
      </c>
      <c r="C27" s="27"/>
      <c r="F27" s="29">
        <f>C27</f>
        <v>0</v>
      </c>
      <c r="G27" s="18" t="str">
        <f>IF(F27="No",1,IF(F27="Yes",0,"'"))</f>
        <v>'</v>
      </c>
      <c r="H27" s="450"/>
    </row>
    <row r="28" spans="1:9" ht="27.6" customHeight="1">
      <c r="A28" s="77" t="s">
        <v>1375</v>
      </c>
      <c r="B28" s="20" t="str">
        <f>Language!A1365</f>
        <v>Does the lab ever use agar other than Mueller Hinton with Blood for AST of Streptococcus pneumoniae?</v>
      </c>
      <c r="C28" s="27"/>
      <c r="F28" s="29">
        <f>C28</f>
        <v>0</v>
      </c>
      <c r="G28" s="18" t="str">
        <f>IF(F28="No",1,IF(F28="Yes",0,"'"))</f>
        <v>'</v>
      </c>
      <c r="H28" s="450"/>
    </row>
    <row r="29" spans="1:9">
      <c r="A29" s="10"/>
      <c r="B29" s="20" t="str">
        <f>Language!A1366</f>
        <v>Observe a MH plate being inoculated.</v>
      </c>
      <c r="C29" s="22"/>
      <c r="F29" s="29"/>
      <c r="G29" s="18"/>
      <c r="H29" s="205"/>
    </row>
    <row r="30" spans="1:9">
      <c r="A30" s="77" t="s">
        <v>1376</v>
      </c>
      <c r="B30" s="37" t="str">
        <f>Language!A1367</f>
        <v>Is the inoculum always used within 15 minutes of preparation?</v>
      </c>
      <c r="C30" s="27"/>
      <c r="F30" s="29">
        <f>C30</f>
        <v>0</v>
      </c>
      <c r="G30" s="18" t="str">
        <f>IF(F30="Yes",1,IF(F30="No",0,"'"))</f>
        <v>'</v>
      </c>
      <c r="H30" s="450"/>
    </row>
    <row r="31" spans="1:9">
      <c r="A31" s="77" t="s">
        <v>1377</v>
      </c>
      <c r="B31" s="37" t="str">
        <f>Language!A1368</f>
        <v>Is a sterile swab used to inoculate the plate?</v>
      </c>
      <c r="C31" s="27"/>
      <c r="F31" s="29">
        <f>C31</f>
        <v>0</v>
      </c>
      <c r="G31" s="18" t="str">
        <f t="shared" ref="G31:G32" si="4">IF(F31="Yes",1,IF(F31="No",0,"'"))</f>
        <v>'</v>
      </c>
      <c r="H31" s="450"/>
    </row>
    <row r="32" spans="1:9">
      <c r="A32" s="77" t="s">
        <v>1378</v>
      </c>
      <c r="B32" s="37" t="str">
        <f>Language!A1369</f>
        <v xml:space="preserve">Is the inoculum spread in a way that will create an even lawn? </v>
      </c>
      <c r="C32" s="27"/>
      <c r="F32" s="29">
        <f>C32</f>
        <v>0</v>
      </c>
      <c r="G32" s="18" t="str">
        <f t="shared" si="4"/>
        <v>'</v>
      </c>
      <c r="H32" s="450"/>
    </row>
    <row r="33" spans="1:10" ht="41.4" customHeight="1">
      <c r="A33" s="10"/>
      <c r="B33" s="465" t="str">
        <f>Language!A1370</f>
        <v>To create an even lawn, streak a line from top to bottom, then spread left to right across that line from top to bottom. Rotate plate 60° and repeat from beginning; rotate plate another 60° and repeat again.</v>
      </c>
      <c r="C33" s="22"/>
      <c r="F33" s="29"/>
      <c r="G33" s="18"/>
      <c r="H33" s="205"/>
    </row>
    <row r="34" spans="1:10" ht="27.6" customHeight="1">
      <c r="A34" s="77" t="s">
        <v>1379</v>
      </c>
      <c r="B34" s="37" t="str">
        <f>Language!A1371</f>
        <v>Before applying disks/strips, are inoculated MH plates allowed to sit, lid-ajar, for 3 to no more than 15 minutes to allow for absorption of excess surface moisture?</v>
      </c>
      <c r="C34" s="27"/>
      <c r="F34" s="29">
        <f>C34</f>
        <v>0</v>
      </c>
      <c r="G34" s="18" t="str">
        <f>IF(F34="Yes",1,IF(F34="No",0,"'"))</f>
        <v>'</v>
      </c>
      <c r="H34" s="134"/>
    </row>
    <row r="35" spans="1:10">
      <c r="A35" s="77" t="s">
        <v>1380</v>
      </c>
      <c r="B35" s="20" t="str">
        <f>Language!A1372</f>
        <v>Are disks/strips ever moved after being placed on the agar?</v>
      </c>
      <c r="C35" s="27"/>
      <c r="F35" s="29">
        <f>C35</f>
        <v>0</v>
      </c>
      <c r="G35" s="18" t="str">
        <f>IF(F35="No",1,IF(F35="Yes",0,"'"))</f>
        <v>'</v>
      </c>
      <c r="H35" s="134"/>
    </row>
    <row r="36" spans="1:10" ht="27.6" customHeight="1">
      <c r="A36" s="77" t="s">
        <v>1381</v>
      </c>
      <c r="B36" s="129" t="str">
        <f>Language!A1373</f>
        <v>When using multi-disk dispensers, is the bottom of the dispenser disinfected between isolates?</v>
      </c>
      <c r="C36" s="27"/>
      <c r="F36" s="29">
        <f>C36</f>
        <v>0</v>
      </c>
      <c r="G36" s="18" t="str">
        <f>IF(F36="Yes",1,IF(F36="No",0,"'"))</f>
        <v>'</v>
      </c>
      <c r="H36" s="135"/>
      <c r="I36" s="8"/>
    </row>
    <row r="37" spans="1:10">
      <c r="A37" s="77" t="s">
        <v>1382</v>
      </c>
      <c r="B37" s="20" t="str">
        <f>Language!A1374</f>
        <v>Are AST plates incubated within 15 minutes of placing disks/strips?</v>
      </c>
      <c r="C37" s="27"/>
      <c r="F37" s="29">
        <f>C37</f>
        <v>0</v>
      </c>
      <c r="G37" s="18" t="str">
        <f t="shared" ref="G37:G38" si="5">IF(F37="Yes",1,IF(F37="No",0,"'"))</f>
        <v>'</v>
      </c>
      <c r="H37" s="134"/>
    </row>
    <row r="38" spans="1:10">
      <c r="A38" s="77" t="s">
        <v>1383</v>
      </c>
      <c r="B38" s="20" t="str">
        <f>Language!A1375</f>
        <v>After AST inoculation, are “purity plates” made from the remaining suspension?</v>
      </c>
      <c r="C38" s="27"/>
      <c r="F38" s="29">
        <f>C38</f>
        <v>0</v>
      </c>
      <c r="G38" s="18" t="str">
        <f t="shared" si="5"/>
        <v>'</v>
      </c>
      <c r="H38" s="134"/>
      <c r="J38" s="212"/>
    </row>
    <row r="39" spans="1:10" ht="41.4" customHeight="1">
      <c r="A39" s="10"/>
      <c r="B39" s="491" t="str">
        <f>Language!A1376</f>
        <v>A purity plate is a light subculture of the inoculum that is made to ensure the inoculum was not mixed or contaminated; usually streaked like a urine to ensure visualization of individual colonies and checked for purity when reading AST results</v>
      </c>
      <c r="C39" s="61"/>
      <c r="F39" s="29"/>
      <c r="G39" s="18"/>
    </row>
    <row r="40" spans="1:10">
      <c r="A40" s="77" t="s">
        <v>1384</v>
      </c>
      <c r="B40" s="20" t="str">
        <f>Language!A1377</f>
        <v>Are AST plates for non-fastidious organisms ever incubated in CO2?</v>
      </c>
      <c r="C40" s="27"/>
      <c r="F40" s="29">
        <f>C40</f>
        <v>0</v>
      </c>
      <c r="G40" s="18" t="str">
        <f>IF(F40="No",1,IF(F40="Yes",0,"'"))</f>
        <v>'</v>
      </c>
      <c r="H40" s="450"/>
    </row>
    <row r="41" spans="1:10">
      <c r="A41" s="77" t="s">
        <v>1385</v>
      </c>
      <c r="B41" s="20" t="str">
        <f>Language!A1378</f>
        <v>Are AST plates for S. pneumoniae incubated in 5% CO2?</v>
      </c>
      <c r="C41" s="27"/>
      <c r="F41" s="29">
        <f>C41</f>
        <v>0</v>
      </c>
      <c r="G41" s="18" t="str">
        <f>IF(F41="Yes",1,IF(F41="No",0,"'"))</f>
        <v>'</v>
      </c>
      <c r="H41" s="450"/>
    </row>
    <row r="42" spans="1:10">
      <c r="A42" s="10"/>
      <c r="B42" s="20" t="str">
        <f>Language!A1379</f>
        <v>Observe some currently incubating and/or recently read Mueller Hinton AST plates.</v>
      </c>
      <c r="C42" s="22"/>
      <c r="F42" s="29"/>
      <c r="G42" s="18"/>
      <c r="H42" s="205"/>
    </row>
    <row r="43" spans="1:10">
      <c r="A43" s="77" t="s">
        <v>1386</v>
      </c>
      <c r="B43" s="37" t="str">
        <f>Language!A1380</f>
        <v>Are the lawns of growth confluent (no gaps or individual colonies showing)?</v>
      </c>
      <c r="C43" s="27"/>
      <c r="F43" s="29">
        <f>C43</f>
        <v>0</v>
      </c>
      <c r="G43" s="18" t="str">
        <f>IF(F43="Yes",1,IF(F43="No",0,"'"))</f>
        <v>'</v>
      </c>
      <c r="H43" s="450"/>
    </row>
    <row r="44" spans="1:10">
      <c r="A44" s="77" t="s">
        <v>1387</v>
      </c>
      <c r="B44" s="37" t="str">
        <f>Language!A1381</f>
        <v>Is there a maximum of 6 antibiotic disks per 100mm plate?</v>
      </c>
      <c r="C44" s="27"/>
      <c r="F44" s="29">
        <f>C44</f>
        <v>0</v>
      </c>
      <c r="G44" s="18" t="str">
        <f t="shared" ref="G44:G46" si="6">IF(F44="Yes",1,IF(F44="No",0,"'"))</f>
        <v>'</v>
      </c>
      <c r="H44" s="450"/>
    </row>
    <row r="45" spans="1:10">
      <c r="A45" s="77" t="s">
        <v>1388</v>
      </c>
      <c r="B45" s="37" t="str">
        <f>Language!A1382</f>
        <v>Is there a maximum of 12 antibiotic disks per 150mm plate?</v>
      </c>
      <c r="C45" s="27"/>
      <c r="F45" s="29">
        <f>C45</f>
        <v>0</v>
      </c>
      <c r="G45" s="18" t="str">
        <f t="shared" si="6"/>
        <v>'</v>
      </c>
      <c r="H45" s="450"/>
    </row>
    <row r="46" spans="1:10" ht="27.6" customHeight="1" thickBot="1">
      <c r="A46" s="77" t="s">
        <v>1389</v>
      </c>
      <c r="B46" s="37" t="str">
        <f>Language!A1383</f>
        <v>Are disks spaced properly? (At least 24mm from center to center, no overlapping zones, not too close to edge, uniformly circular zones)</v>
      </c>
      <c r="C46" s="27"/>
      <c r="F46" s="29">
        <f>C46</f>
        <v>0</v>
      </c>
      <c r="G46" s="18" t="str">
        <f t="shared" si="6"/>
        <v>'</v>
      </c>
      <c r="H46" s="450"/>
    </row>
    <row r="47" spans="1:10" ht="16.2" thickBot="1">
      <c r="A47" s="166"/>
      <c r="B47" s="34" t="str">
        <f>Language!A1384</f>
        <v>READING AST RESULTS</v>
      </c>
      <c r="C47" s="44" t="str">
        <f>IF(COUNTBLANK(C48:C61)=14,"???",IF(COUNT(G48:G61)=0,"NA",AVERAGE(G48:G61)))</f>
        <v>???</v>
      </c>
      <c r="E47" s="28"/>
      <c r="G47" s="28"/>
      <c r="H47" s="446"/>
    </row>
    <row r="48" spans="1:10">
      <c r="A48" s="77" t="s">
        <v>1390</v>
      </c>
      <c r="B48" s="8" t="str">
        <f>Language!A1385</f>
        <v>Are AST results ever read after less than 16 hours of incubation?</v>
      </c>
      <c r="C48" s="27"/>
      <c r="F48" s="29">
        <f>C48</f>
        <v>0</v>
      </c>
      <c r="G48" s="18" t="str">
        <f>IF(F48="No",1,IF(F48="Yes",0,"'"))</f>
        <v>'</v>
      </c>
      <c r="H48" s="450"/>
    </row>
    <row r="49" spans="1:10">
      <c r="A49" s="77" t="s">
        <v>1391</v>
      </c>
      <c r="B49" s="20" t="str">
        <f>Language!A1386</f>
        <v>Are AST results ever read after more than 24 hours of incubation?</v>
      </c>
      <c r="C49" s="27"/>
      <c r="F49" s="29">
        <f>C49</f>
        <v>0</v>
      </c>
      <c r="G49" s="18" t="str">
        <f>IF(F49="No",1,IF(F49="Yes",0,"'"))</f>
        <v>'</v>
      </c>
      <c r="H49" s="450"/>
    </row>
    <row r="50" spans="1:10" ht="27.6" customHeight="1">
      <c r="A50" s="77" t="s">
        <v>1392</v>
      </c>
      <c r="B50" s="20" t="str">
        <f>Language!A1387</f>
        <v>If individual colonies are apparent within the ellipsis or the zone of inhibition, does the lab repeat the test with a fresh subculture of a single colony from the original plate?</v>
      </c>
      <c r="C50" s="27"/>
      <c r="F50" s="29">
        <f>C50</f>
        <v>0</v>
      </c>
      <c r="G50" s="18" t="str">
        <f>IF(F50="Yes",1,IF(F50="No",0,"'"))</f>
        <v>'</v>
      </c>
      <c r="H50" s="450"/>
    </row>
    <row r="51" spans="1:10">
      <c r="A51" s="10"/>
      <c r="B51" s="20" t="str">
        <f>Language!A1388</f>
        <v>Observe a Mueller Hinton AST plate being read.</v>
      </c>
      <c r="C51" s="103"/>
      <c r="D51" s="103"/>
      <c r="H51" s="168"/>
    </row>
    <row r="52" spans="1:10">
      <c r="A52" s="77" t="s">
        <v>1393</v>
      </c>
      <c r="B52" s="37" t="str">
        <f>Language!A1389</f>
        <v>Is the plate held above a black, non-reflective background?</v>
      </c>
      <c r="C52" s="27"/>
      <c r="F52" s="29">
        <f t="shared" ref="F52:F57" si="7">C52</f>
        <v>0</v>
      </c>
      <c r="G52" s="18" t="str">
        <f>IF(F52="Yes",1,IF(F52="No",0,"'"))</f>
        <v>'</v>
      </c>
      <c r="H52" s="450"/>
    </row>
    <row r="53" spans="1:10">
      <c r="A53" s="77" t="s">
        <v>1394</v>
      </c>
      <c r="B53" s="37" t="str">
        <f>Language!A1390</f>
        <v>Is the plate illuminated adequately with reflected light?</v>
      </c>
      <c r="C53" s="27"/>
      <c r="F53" s="29">
        <f t="shared" si="7"/>
        <v>0</v>
      </c>
      <c r="G53" s="18" t="str">
        <f t="shared" ref="G53:G57" si="8">IF(F53="Yes",1,IF(F53="No",0,"'"))</f>
        <v>'</v>
      </c>
      <c r="H53" s="450"/>
    </row>
    <row r="54" spans="1:10">
      <c r="A54" s="77" t="s">
        <v>1395</v>
      </c>
      <c r="B54" s="37" t="str">
        <f>Language!A1391</f>
        <v>Is the plate inverted and zones measured from underneath?</v>
      </c>
      <c r="C54" s="27"/>
      <c r="F54" s="29">
        <f t="shared" si="7"/>
        <v>0</v>
      </c>
      <c r="G54" s="18" t="str">
        <f t="shared" si="8"/>
        <v>'</v>
      </c>
      <c r="H54" s="450"/>
    </row>
    <row r="55" spans="1:10" ht="27.6" customHeight="1">
      <c r="A55" s="77" t="s">
        <v>1396</v>
      </c>
      <c r="B55" s="37" t="str">
        <f>Language!A1392</f>
        <v>Is a ruler or a caliper with millimeter marks used to measure zone sizes ?</v>
      </c>
      <c r="C55" s="27"/>
      <c r="F55" s="29">
        <f t="shared" si="7"/>
        <v>0</v>
      </c>
      <c r="G55" s="18" t="str">
        <f t="shared" si="8"/>
        <v>'</v>
      </c>
      <c r="H55" s="450"/>
    </row>
    <row r="56" spans="1:10" ht="27.6" customHeight="1">
      <c r="A56" s="77" t="s">
        <v>1397</v>
      </c>
      <c r="B56" s="20" t="str">
        <f>Language!A1393</f>
        <v>Does the lab possess a guidance document with photos describing how to measure zone sizes, such as the CLSI M02 or the EUCAST disk diffusion reading guides?</v>
      </c>
      <c r="C56" s="27"/>
      <c r="F56" s="29">
        <f t="shared" si="7"/>
        <v>0</v>
      </c>
      <c r="G56" s="18" t="str">
        <f t="shared" si="8"/>
        <v>'</v>
      </c>
      <c r="H56" s="450"/>
    </row>
    <row r="57" spans="1:10" ht="27.6" customHeight="1">
      <c r="A57" s="77" t="s">
        <v>1398</v>
      </c>
      <c r="B57" s="8" t="str">
        <f>Language!A1394</f>
        <v xml:space="preserve">Does the lab possess a guidance document with photos describing how to measure gradient strip endpoints? </v>
      </c>
      <c r="C57" s="27"/>
      <c r="F57" s="29">
        <f t="shared" si="7"/>
        <v>0</v>
      </c>
      <c r="G57" s="18" t="str">
        <f t="shared" si="8"/>
        <v>'</v>
      </c>
      <c r="H57" s="450"/>
    </row>
    <row r="58" spans="1:10">
      <c r="A58" s="10"/>
      <c r="B58" s="465" t="str">
        <f>Language!A1395</f>
        <v>For example, http://www.ilexmedical.com/files/ETEST_RG.pdf</v>
      </c>
      <c r="C58" s="22"/>
      <c r="F58" s="29"/>
      <c r="G58" s="18"/>
      <c r="H58" s="205"/>
    </row>
    <row r="59" spans="1:10" ht="27.6" customHeight="1">
      <c r="A59" s="77" t="s">
        <v>1399</v>
      </c>
      <c r="B59" s="8" t="str">
        <f>Language!A1396</f>
        <v xml:space="preserve">Does the SOP or bench aide instruct that zone sizes and/or MIC endpoints for co-trimoxazole (SXT) are measured at 80% inhibition of growth, rather than 100%? </v>
      </c>
      <c r="C59" s="27"/>
      <c r="F59" s="29">
        <f>C59</f>
        <v>0</v>
      </c>
      <c r="G59" s="18" t="str">
        <f>IF(F59="Yes",1,IF(F59="No",0,"'"))</f>
        <v>'</v>
      </c>
      <c r="H59" s="450"/>
    </row>
    <row r="60" spans="1:10" ht="27.6" customHeight="1">
      <c r="A60" s="77" t="s">
        <v>1400</v>
      </c>
      <c r="B60" s="8" t="str">
        <f>Language!A1397</f>
        <v>Does the SOP or bench aide instruct how to measure zones of inhibition and/or MIC endpoints when Proteus spp. swarming is present?</v>
      </c>
      <c r="C60" s="27"/>
      <c r="F60" s="29">
        <f>C60</f>
        <v>0</v>
      </c>
      <c r="G60" s="18" t="str">
        <f t="shared" ref="G60:G61" si="9">IF(F60="Yes",1,IF(F60="No",0,"'"))</f>
        <v>'</v>
      </c>
      <c r="H60" s="450"/>
    </row>
    <row r="61" spans="1:10">
      <c r="A61" s="77" t="s">
        <v>1401</v>
      </c>
      <c r="B61" s="8" t="str">
        <f>Language!A1398</f>
        <v>Is the automated AST instrument software up to date?</v>
      </c>
      <c r="C61" s="27"/>
      <c r="F61" s="29">
        <f>C61</f>
        <v>0</v>
      </c>
      <c r="G61" s="18" t="str">
        <f t="shared" si="9"/>
        <v>'</v>
      </c>
      <c r="H61" s="450"/>
      <c r="J61" s="212"/>
    </row>
    <row r="62" spans="1:10">
      <c r="A62" s="10"/>
      <c r="B62" s="465" t="str">
        <f>Language!A1399</f>
        <v>Answer NA if the lab does not use automated AST instrument</v>
      </c>
      <c r="C62" s="22"/>
      <c r="F62" s="22"/>
    </row>
    <row r="63" spans="1:10" ht="16.2" thickBot="1">
      <c r="A63" s="10"/>
      <c r="C63" s="8"/>
      <c r="D63" s="8"/>
      <c r="F63" s="29"/>
      <c r="G63" s="18"/>
    </row>
    <row r="64" spans="1:10" ht="16.2" thickBot="1">
      <c r="A64" s="166"/>
      <c r="B64" s="34" t="str">
        <f>Language!A1400</f>
        <v>INTERPRETING RESULTS</v>
      </c>
      <c r="C64" s="44" t="str">
        <f>IF(COUNTBLANK(C65:C79)=15,"???",IF(COUNT(G65:G79)=0,"NA",AVERAGE(G65:G79)))</f>
        <v>???</v>
      </c>
      <c r="E64" s="28"/>
      <c r="G64" s="28"/>
      <c r="H64" s="446"/>
    </row>
    <row r="65" spans="1:10" ht="27.6" customHeight="1">
      <c r="A65" s="77" t="s">
        <v>1402</v>
      </c>
      <c r="B65" s="8" t="str">
        <f>Language!A1401</f>
        <v>Is there evidence that appropriate actions are taken when the AST instrument software flags an AST result as questionable (such as checking for purity or repeating the test by another method)?</v>
      </c>
      <c r="C65" s="27"/>
      <c r="F65" s="29">
        <f>C65</f>
        <v>0</v>
      </c>
      <c r="G65" s="18" t="str">
        <f>IF(F65="Yes",1,IF(F65="No",0,"'"))</f>
        <v>'</v>
      </c>
      <c r="H65" s="450"/>
      <c r="I65" s="18" t="str">
        <f>IF(C65="No","Red Flag","'")</f>
        <v>'</v>
      </c>
    </row>
    <row r="66" spans="1:10">
      <c r="A66" s="10"/>
      <c r="B66" s="465" t="str">
        <f>Language!A1402</f>
        <v>Answer NA if the lab does not use automated instrument</v>
      </c>
      <c r="C66" s="538"/>
      <c r="D66" s="538"/>
      <c r="H66" s="547"/>
    </row>
    <row r="67" spans="1:10" ht="27.6" customHeight="1">
      <c r="A67" s="77" t="s">
        <v>1403</v>
      </c>
      <c r="B67" s="60" t="str">
        <f>Language!A1403</f>
        <v>Is there evidence that microbiology staff have received adequate training to recognize intrinsic resistance patterns? (Check SOPs and training/competence assessment records )</v>
      </c>
      <c r="C67" s="46"/>
      <c r="F67" s="91" t="str">
        <f>IF(C67=1,"Yes",IF(C67=2,"Some",IF(C67=3,"No","'")))</f>
        <v>'</v>
      </c>
      <c r="G67" s="18" t="str">
        <f>IF(F67="Yes",1,IF(F67="Some",0.75,IF(F67="No",0,"'")))</f>
        <v>'</v>
      </c>
      <c r="H67" s="453"/>
      <c r="I67" s="92" t="str">
        <f>IF(F67="No","Training Opportunity",IF(F67="Some","Training Opportunity","'"))</f>
        <v>'</v>
      </c>
    </row>
    <row r="68" spans="1:10">
      <c r="A68" s="10"/>
      <c r="B68" s="465" t="str">
        <f>Language!A1405</f>
        <v>(1: Yes - 2: Some, but would like additional training - 3: No)</v>
      </c>
      <c r="C68" s="103"/>
      <c r="D68" s="103"/>
      <c r="H68" s="168"/>
    </row>
    <row r="69" spans="1:10" ht="41.4" customHeight="1">
      <c r="A69" s="10"/>
      <c r="B69" s="491" t="str">
        <f>Language!A1404</f>
        <v>Note: Intrinsic resistance is defined as inherent or innate (not acquired) resistance which is reflected in the wild-type of all representatives of a species; e.g., Citrobacter spp. and Klebsiella spp. are intrinsically (naturally) resistant to ampicillin</v>
      </c>
      <c r="C69" s="61"/>
      <c r="D69" s="103"/>
      <c r="H69" s="168"/>
    </row>
    <row r="70" spans="1:10" ht="27.6" customHeight="1">
      <c r="A70" s="77" t="s">
        <v>1404</v>
      </c>
      <c r="B70" s="20" t="str">
        <f>Language!A1406</f>
        <v>Do the AST SOPs or bench aides provide examples of intrinsic resistance patterns? (Such as those found in CLSI M100 Appendix B or EUCAST Expert Rules V3.1)</v>
      </c>
      <c r="C70" s="27"/>
      <c r="F70" s="29">
        <f>C70</f>
        <v>0</v>
      </c>
      <c r="G70" s="18" t="str">
        <f>IF(F70="Yes",1,IF(F70="No",0,"'"))</f>
        <v>'</v>
      </c>
      <c r="H70" s="450"/>
      <c r="J70" s="212"/>
    </row>
    <row r="71" spans="1:10" ht="41.4" customHeight="1">
      <c r="A71" s="77" t="s">
        <v>1405</v>
      </c>
      <c r="B71" s="59" t="str">
        <f>Language!A1407</f>
        <v>Is there evidence that microbiology staff have received adequate training to recognize unusual or unexpected AST results that might require investigation? (e.g. Klebsiella spp. S to ampicillin; Staphylococcus spp. I/R to vancomycin)</v>
      </c>
      <c r="C71" s="46"/>
      <c r="F71" s="91" t="str">
        <f>IF(C71=1,"Yes",IF(C71=2,"Some",IF(C71=3,"No","'")))</f>
        <v>'</v>
      </c>
      <c r="G71" s="18" t="str">
        <f>IF(F71="Yes",1,IF(F71="Some",0.75,IF(F71="No",0,"'")))</f>
        <v>'</v>
      </c>
      <c r="H71" s="453"/>
      <c r="I71" s="92" t="str">
        <f>IF(F71="No","Training Opportunity",IF(F71="Some","Training Opportunity","'"))</f>
        <v>'</v>
      </c>
    </row>
    <row r="72" spans="1:10">
      <c r="A72" s="10"/>
      <c r="B72" s="465" t="str">
        <f>Language!A1408</f>
        <v>Check SOPs and training/competence assessment records</v>
      </c>
      <c r="C72" s="22"/>
      <c r="F72" s="29"/>
      <c r="G72" s="18"/>
    </row>
    <row r="73" spans="1:10">
      <c r="A73" s="10"/>
      <c r="B73" s="503" t="str">
        <f>Language!A1409</f>
        <v>1: Yes - 2: Some, but would like additional training - 3: No</v>
      </c>
      <c r="C73" s="22"/>
      <c r="F73" s="29"/>
      <c r="G73" s="18"/>
      <c r="H73" s="205"/>
    </row>
    <row r="74" spans="1:10" ht="27.6" customHeight="1">
      <c r="A74" s="77" t="s">
        <v>1406</v>
      </c>
      <c r="B74" s="20" t="str">
        <f>Language!A1410</f>
        <v>Do the AST SOPs or bench aides define examples of unusual or unexpected AST results? (Such as those found in CLSI M100 Appendix A or EUCAST Expert Rules V3.1)</v>
      </c>
      <c r="C74" s="27"/>
      <c r="F74" s="29">
        <f>C74</f>
        <v>0</v>
      </c>
      <c r="G74" s="18" t="str">
        <f>IF(F74="Yes",1,IF(F74="No",0,"'"))</f>
        <v>'</v>
      </c>
      <c r="H74" s="450"/>
      <c r="J74" s="212"/>
    </row>
    <row r="75" spans="1:10" ht="41.4" customHeight="1">
      <c r="A75" s="77" t="s">
        <v>1407</v>
      </c>
      <c r="B75" s="20" t="str">
        <f>Language!A1411</f>
        <v xml:space="preserve">Do the AST SOPs or bench aides describe what actions to take when unusual or unexpected AST results are encountered (e.g., check purity, reconfirm organism ID, check relevant QC, repeat testing, notify supervisor)? </v>
      </c>
      <c r="C75" s="27"/>
      <c r="F75" s="29">
        <f>C75</f>
        <v>0</v>
      </c>
      <c r="G75" s="18" t="str">
        <f t="shared" ref="G75:G78" si="10">IF(F75="Yes",1,IF(F75="No",0,"'"))</f>
        <v>'</v>
      </c>
      <c r="H75" s="450"/>
      <c r="J75" s="212"/>
    </row>
    <row r="76" spans="1:10">
      <c r="A76" s="77" t="s">
        <v>1408</v>
      </c>
      <c r="B76" s="20" t="str">
        <f>Language!A1412</f>
        <v xml:space="preserve">Is there evidence of such actions being taken? </v>
      </c>
      <c r="C76" s="27"/>
      <c r="F76" s="29">
        <f>C76</f>
        <v>0</v>
      </c>
      <c r="G76" s="18" t="str">
        <f t="shared" si="10"/>
        <v>'</v>
      </c>
      <c r="H76" s="450"/>
      <c r="I76" s="18" t="str">
        <f>IF(C76="No","Red Flag","'")</f>
        <v>'</v>
      </c>
    </row>
    <row r="77" spans="1:10">
      <c r="A77" s="77" t="s">
        <v>1409</v>
      </c>
      <c r="B77" s="20" t="str">
        <f>Language!A1413</f>
        <v>Is the microbiology lead or supervisor informed when unusual AST results are identified?</v>
      </c>
      <c r="C77" s="27"/>
      <c r="F77" s="29">
        <f>C77</f>
        <v>0</v>
      </c>
      <c r="G77" s="18" t="str">
        <f t="shared" si="10"/>
        <v>'</v>
      </c>
      <c r="H77" s="450"/>
    </row>
    <row r="78" spans="1:10" ht="27.6" customHeight="1">
      <c r="A78" s="77" t="s">
        <v>1410</v>
      </c>
      <c r="B78" s="20" t="str">
        <f>Language!A1414</f>
        <v>Does a supervisor review all AST results for unusual findings before results are given to physicians ?</v>
      </c>
      <c r="C78" s="27"/>
      <c r="F78" s="29">
        <f>C78</f>
        <v>0</v>
      </c>
      <c r="G78" s="18" t="str">
        <f t="shared" si="10"/>
        <v>'</v>
      </c>
      <c r="H78" s="450"/>
      <c r="J78" s="212"/>
    </row>
    <row r="79" spans="1:10" ht="27.6" customHeight="1">
      <c r="A79" s="77" t="s">
        <v>1411</v>
      </c>
      <c r="B79" s="20" t="str">
        <f>Language!A1415</f>
        <v>Is there evidence that the supervisor received appropriate training on how to recognize unusual AST findings?</v>
      </c>
      <c r="C79" s="27"/>
      <c r="F79" s="29" t="str">
        <f>IF(C79=1,"Yes",IF(C79=2,"Some",IF(C79=3,"No","'")))</f>
        <v>'</v>
      </c>
      <c r="G79" s="18" t="str">
        <f>IF(F79="Yes",1,IF(F79="Some",0.75,IF(F79="No",0,"'")))</f>
        <v>'</v>
      </c>
      <c r="H79" s="450"/>
      <c r="I79" s="92" t="str">
        <f>IF(F79="No","Training Opportunity",IF(F79="Some","Training Opportunity","'"))</f>
        <v>'</v>
      </c>
    </row>
    <row r="80" spans="1:10">
      <c r="A80" s="10"/>
      <c r="B80" s="465" t="str">
        <f>Language!A1416</f>
        <v>1: Yes - 2: Some, but would like additional training - 3: No</v>
      </c>
      <c r="C80" s="22"/>
      <c r="F80" s="29"/>
      <c r="G80" s="18"/>
    </row>
    <row r="81" spans="1:10" ht="16.2" thickBot="1">
      <c r="A81" s="10"/>
      <c r="B81" s="20"/>
      <c r="C81" s="22"/>
      <c r="F81" s="29"/>
      <c r="G81" s="18"/>
      <c r="H81" s="205"/>
    </row>
    <row r="82" spans="1:10" ht="16.2" thickBot="1">
      <c r="A82" s="166"/>
      <c r="B82" s="34" t="str">
        <f>Language!A1417</f>
        <v>BREAKPOINTS STANDARDS</v>
      </c>
      <c r="C82" s="44" t="str">
        <f>IF(COUNTBLANK(C84:C95)=12,"???",IF(COUNT(G84:G95)=0,"NA",AVERAGE(G84:G95)))</f>
        <v>???</v>
      </c>
      <c r="E82" s="28"/>
      <c r="G82" s="28"/>
      <c r="H82" s="446"/>
    </row>
    <row r="83" spans="1:10">
      <c r="A83" s="119"/>
      <c r="B83" s="8" t="str">
        <f>Language!A1418</f>
        <v xml:space="preserve">Which AST breakpoint standard does the lab primarily use? </v>
      </c>
      <c r="C83" s="103"/>
      <c r="D83" s="103"/>
      <c r="F83" s="103"/>
      <c r="H83" s="205"/>
    </row>
    <row r="84" spans="1:10">
      <c r="A84" s="77" t="s">
        <v>1412</v>
      </c>
      <c r="B84" s="37" t="str">
        <f>Language!A1419</f>
        <v>1: CLSI - 2: EUCAST - 3: Other (please list in comments) - 4: None/mixed</v>
      </c>
      <c r="C84" s="27"/>
      <c r="F84" s="29">
        <f>C84</f>
        <v>0</v>
      </c>
      <c r="G84" s="18" t="str">
        <f>IF(F84=1,1,IF(F84=2,1,IF(F84=3,0.75,IF(F84=4,0,"'"))))</f>
        <v>'</v>
      </c>
      <c r="H84" s="454"/>
      <c r="J84" s="212"/>
    </row>
    <row r="85" spans="1:10">
      <c r="A85" s="77" t="s">
        <v>1413</v>
      </c>
      <c r="B85" s="8" t="str">
        <f>Language!A1420</f>
        <v>Ask to see the lab’s most current hard copy of the standard. Is it less than 3 years old?</v>
      </c>
      <c r="C85" s="27"/>
      <c r="F85" s="29">
        <f>C85</f>
        <v>0</v>
      </c>
      <c r="G85" s="18" t="str">
        <f>IF(F85="Yes",1,IF(F85="No",0,"'"))</f>
        <v>'</v>
      </c>
      <c r="H85" s="454"/>
      <c r="J85" s="212"/>
    </row>
    <row r="86" spans="1:10">
      <c r="A86" s="77" t="s">
        <v>1414</v>
      </c>
      <c r="B86" s="8" t="str">
        <f>Language!A1421</f>
        <v>Does the lab obtain updates of the standard in use at least every 3 years?</v>
      </c>
      <c r="C86" s="27"/>
      <c r="F86" s="29">
        <f>C86</f>
        <v>0</v>
      </c>
      <c r="G86" s="18" t="str">
        <f t="shared" ref="G86:G87" si="11">IF(F86="Yes",1,IF(F86="No",0,"'"))</f>
        <v>'</v>
      </c>
      <c r="H86" s="454"/>
      <c r="J86" s="212"/>
    </row>
    <row r="87" spans="1:10" ht="27.6" customHeight="1">
      <c r="A87" s="77" t="s">
        <v>1415</v>
      </c>
      <c r="B87" s="8" t="str">
        <f>Language!A1422</f>
        <v>Does the lab review important standards changes, e.g., breakpoint changes, with the relevant hospital committees (e.g. pharmacy and therapeutics, stewardship)?</v>
      </c>
      <c r="C87" s="27"/>
      <c r="F87" s="29">
        <f>C87</f>
        <v>0</v>
      </c>
      <c r="G87" s="18" t="str">
        <f t="shared" si="11"/>
        <v>'</v>
      </c>
      <c r="H87" s="454"/>
      <c r="J87" s="212"/>
    </row>
    <row r="88" spans="1:10" ht="27.6" customHeight="1">
      <c r="A88" s="77" t="s">
        <v>1416</v>
      </c>
      <c r="B88" s="8" t="str">
        <f>Language!A1423</f>
        <v xml:space="preserve">Is there internet in the lab to access free EUCAST PDFs or CLSI M100 online version? </v>
      </c>
      <c r="C88" s="27"/>
      <c r="D88" s="103"/>
      <c r="F88" s="68">
        <f>C88</f>
        <v>0</v>
      </c>
      <c r="H88" s="455"/>
      <c r="I88" s="18" t="str">
        <f>IF(C88="No","System Flag","'")</f>
        <v>'</v>
      </c>
    </row>
    <row r="89" spans="1:10">
      <c r="A89" s="10"/>
      <c r="B89" s="504" t="str">
        <f>Language!A1424</f>
        <v xml:space="preserve">http://www.eucast.org/ast_of_bacteria/guidance_documents/  </v>
      </c>
      <c r="C89" s="22"/>
      <c r="F89" s="22"/>
      <c r="H89" s="205"/>
    </row>
    <row r="90" spans="1:10">
      <c r="A90" s="10"/>
      <c r="B90" s="504" t="str">
        <f>Language!A1425</f>
        <v>http://clsi-m100.com/</v>
      </c>
      <c r="C90" s="22"/>
      <c r="F90" s="22"/>
      <c r="H90" s="205"/>
    </row>
    <row r="91" spans="1:10" ht="41.4" customHeight="1">
      <c r="A91" s="150" t="s">
        <v>1417</v>
      </c>
      <c r="B91" s="151" t="str">
        <f>Language!A1426</f>
        <v>Is there evidence that microbiology staff have received adequate training on how to use the CLSI M100 or EUCAST documents effectively? (1: Yes - 2: Some, but would like additional training - 3: No)</v>
      </c>
      <c r="C91" s="27"/>
      <c r="F91" s="29" t="str">
        <f>IF(C91=1,"Yes",IF(C91=2,"Some",IF(C91=3,"No","'")))</f>
        <v>'</v>
      </c>
      <c r="G91" s="18" t="str">
        <f>IF(F91="Yes",1,IF(F91="Some",0.75,IF(F91="No",0,"'")))</f>
        <v>'</v>
      </c>
      <c r="H91" s="450"/>
      <c r="I91" s="92" t="str">
        <f>IF(F91="No","Training Opportunity",IF(F91="Some","Training Opportunity","'"))</f>
        <v>'</v>
      </c>
    </row>
    <row r="92" spans="1:10">
      <c r="A92" s="10"/>
      <c r="B92" s="48" t="str">
        <f>Language!A1427</f>
        <v>For the next 3 questions, answer NA if the lab does not use considered disks</v>
      </c>
      <c r="C92" s="22"/>
      <c r="D92" s="103"/>
      <c r="F92" s="23"/>
      <c r="G92" s="18"/>
      <c r="H92" s="205"/>
    </row>
    <row r="93" spans="1:10" ht="41.4" customHeight="1">
      <c r="A93" s="77" t="s">
        <v>1418</v>
      </c>
      <c r="B93" s="37" t="str">
        <f>Language!A1428</f>
        <v>Look at the cefotaxime disks currently in use. Does the drug concentration correspond correctly to the standard the lab uses? (CLSI breakpoints require 30µg disks, EUCAST breakpoints require 5µg disks).</v>
      </c>
      <c r="C93" s="27"/>
      <c r="F93" s="29">
        <f>C93</f>
        <v>0</v>
      </c>
      <c r="G93" s="18" t="str">
        <f t="shared" ref="G93:G95" si="12">IF(F93="Yes",1,IF(F93="No",0,"'"))</f>
        <v>'</v>
      </c>
      <c r="H93" s="450"/>
      <c r="I93" s="18" t="str">
        <f>IF(C93="No","Red Flag","'")</f>
        <v>'</v>
      </c>
    </row>
    <row r="94" spans="1:10" ht="41.4" customHeight="1">
      <c r="A94" s="77" t="s">
        <v>1785</v>
      </c>
      <c r="B94" s="37" t="str">
        <f>Language!A1429</f>
        <v>Look at the ceftazidime disks currently in use. Does the drug concentration correspond correctly to the standard in use? (CLSI breakpoints require 30µg disks, EUCAST breakpoints require 10µg)</v>
      </c>
      <c r="C94" s="27"/>
      <c r="F94" s="29">
        <f>C94</f>
        <v>0</v>
      </c>
      <c r="G94" s="18" t="str">
        <f t="shared" si="12"/>
        <v>'</v>
      </c>
      <c r="H94" s="450"/>
      <c r="I94" s="18" t="str">
        <f t="shared" ref="I94:I95" si="13">IF(C94="No","Red Flag","'")</f>
        <v>'</v>
      </c>
    </row>
    <row r="95" spans="1:10" ht="41.4" customHeight="1">
      <c r="A95" s="77" t="s">
        <v>2340</v>
      </c>
      <c r="B95" s="37" t="str">
        <f>Language!A1430</f>
        <v>Look at the piperacillin-tazobactam disks currently in use. Does the drug concentration correspond correctly to the standard in use? (CLSI breakpoints require 100/10µg disks, EUCAST breakpoints require 30/6µg disks).</v>
      </c>
      <c r="C95" s="27"/>
      <c r="D95" s="103"/>
      <c r="F95" s="29">
        <f>C95</f>
        <v>0</v>
      </c>
      <c r="G95" s="18" t="str">
        <f t="shared" si="12"/>
        <v>'</v>
      </c>
      <c r="H95" s="455"/>
      <c r="I95" s="18" t="str">
        <f t="shared" si="13"/>
        <v>'</v>
      </c>
    </row>
  </sheetData>
  <sheetProtection algorithmName="SHA-256" hashValue="/JyK+M+sZFz6Ynk8yhSsl1B7GR+EuTVkzhKjYfv5jJI=" saltValue="YJE2m32kJaSWMU3NFtKECw==" spinCount="100000" sheet="1" selectLockedCells="1"/>
  <phoneticPr fontId="46" type="noConversion"/>
  <conditionalFormatting sqref="C3">
    <cfRule type="cellIs" dxfId="787" priority="762" stopIfTrue="1" operator="greaterThanOrEqual">
      <formula>0.8</formula>
    </cfRule>
    <cfRule type="cellIs" dxfId="786" priority="763" stopIfTrue="1" operator="between">
      <formula>0.5</formula>
      <formula>0.799</formula>
    </cfRule>
    <cfRule type="cellIs" dxfId="785" priority="764" stopIfTrue="1" operator="lessThan">
      <formula>0.5</formula>
    </cfRule>
  </conditionalFormatting>
  <conditionalFormatting sqref="C15">
    <cfRule type="cellIs" dxfId="784" priority="759" stopIfTrue="1" operator="greaterThanOrEqual">
      <formula>0.8</formula>
    </cfRule>
    <cfRule type="cellIs" dxfId="783" priority="760" stopIfTrue="1" operator="between">
      <formula>0.5</formula>
      <formula>0.799</formula>
    </cfRule>
    <cfRule type="cellIs" dxfId="782" priority="761" stopIfTrue="1" operator="lessThan">
      <formula>0.5</formula>
    </cfRule>
  </conditionalFormatting>
  <conditionalFormatting sqref="C26">
    <cfRule type="cellIs" dxfId="781" priority="756" stopIfTrue="1" operator="greaterThanOrEqual">
      <formula>0.8</formula>
    </cfRule>
    <cfRule type="cellIs" dxfId="780" priority="757" stopIfTrue="1" operator="between">
      <formula>0.5</formula>
      <formula>0.799</formula>
    </cfRule>
    <cfRule type="cellIs" dxfId="779" priority="758" stopIfTrue="1" operator="lessThan">
      <formula>0.5</formula>
    </cfRule>
  </conditionalFormatting>
  <conditionalFormatting sqref="G80:G81 G4:G13 G36:G38">
    <cfRule type="cellIs" dxfId="778" priority="735" stopIfTrue="1" operator="lessThan">
      <formula>0.5</formula>
    </cfRule>
    <cfRule type="cellIs" dxfId="777" priority="736" stopIfTrue="1" operator="between">
      <formula>0.5</formula>
      <formula>0.75</formula>
    </cfRule>
    <cfRule type="cellIs" dxfId="776" priority="737" stopIfTrue="1" operator="greaterThan">
      <formula>0.75</formula>
    </cfRule>
  </conditionalFormatting>
  <conditionalFormatting sqref="G25 G16:G17">
    <cfRule type="cellIs" dxfId="775" priority="711" stopIfTrue="1" operator="lessThan">
      <formula>0.5</formula>
    </cfRule>
    <cfRule type="cellIs" dxfId="774" priority="712" stopIfTrue="1" operator="between">
      <formula>0.5</formula>
      <formula>0.75</formula>
    </cfRule>
    <cfRule type="cellIs" dxfId="773" priority="713" stopIfTrue="1" operator="greaterThan">
      <formula>0.75</formula>
    </cfRule>
  </conditionalFormatting>
  <conditionalFormatting sqref="G17">
    <cfRule type="cellIs" dxfId="772" priority="708" stopIfTrue="1" operator="lessThan">
      <formula>0.5</formula>
    </cfRule>
    <cfRule type="cellIs" dxfId="771" priority="709" stopIfTrue="1" operator="between">
      <formula>0.5</formula>
      <formula>0.75</formula>
    </cfRule>
    <cfRule type="cellIs" dxfId="770" priority="710" stopIfTrue="1" operator="greaterThan">
      <formula>0.75</formula>
    </cfRule>
  </conditionalFormatting>
  <conditionalFormatting sqref="G18:G19">
    <cfRule type="cellIs" dxfId="769" priority="705" stopIfTrue="1" operator="lessThan">
      <formula>0.5</formula>
    </cfRule>
    <cfRule type="cellIs" dxfId="768" priority="706" stopIfTrue="1" operator="between">
      <formula>0.5</formula>
      <formula>0.75</formula>
    </cfRule>
    <cfRule type="cellIs" dxfId="767" priority="707" stopIfTrue="1" operator="greaterThan">
      <formula>0.75</formula>
    </cfRule>
  </conditionalFormatting>
  <conditionalFormatting sqref="G19">
    <cfRule type="cellIs" dxfId="766" priority="702" stopIfTrue="1" operator="lessThan">
      <formula>0.5</formula>
    </cfRule>
    <cfRule type="cellIs" dxfId="765" priority="703" stopIfTrue="1" operator="between">
      <formula>0.5</formula>
      <formula>0.75</formula>
    </cfRule>
    <cfRule type="cellIs" dxfId="764" priority="704" stopIfTrue="1" operator="greaterThan">
      <formula>0.75</formula>
    </cfRule>
  </conditionalFormatting>
  <conditionalFormatting sqref="G20">
    <cfRule type="cellIs" dxfId="763" priority="699" stopIfTrue="1" operator="lessThan">
      <formula>0.5</formula>
    </cfRule>
    <cfRule type="cellIs" dxfId="762" priority="700" stopIfTrue="1" operator="between">
      <formula>0.5</formula>
      <formula>0.75</formula>
    </cfRule>
    <cfRule type="cellIs" dxfId="761" priority="701" stopIfTrue="1" operator="greaterThan">
      <formula>0.75</formula>
    </cfRule>
  </conditionalFormatting>
  <conditionalFormatting sqref="G21:G23">
    <cfRule type="cellIs" dxfId="760" priority="696" stopIfTrue="1" operator="lessThan">
      <formula>0.5</formula>
    </cfRule>
    <cfRule type="cellIs" dxfId="759" priority="697" stopIfTrue="1" operator="between">
      <formula>0.5</formula>
      <formula>0.75</formula>
    </cfRule>
    <cfRule type="cellIs" dxfId="758" priority="698" stopIfTrue="1" operator="greaterThan">
      <formula>0.75</formula>
    </cfRule>
  </conditionalFormatting>
  <conditionalFormatting sqref="G22">
    <cfRule type="cellIs" dxfId="757" priority="693" stopIfTrue="1" operator="lessThan">
      <formula>0.5</formula>
    </cfRule>
    <cfRule type="cellIs" dxfId="756" priority="694" stopIfTrue="1" operator="between">
      <formula>0.5</formula>
      <formula>0.75</formula>
    </cfRule>
    <cfRule type="cellIs" dxfId="755" priority="695" stopIfTrue="1" operator="greaterThan">
      <formula>0.75</formula>
    </cfRule>
  </conditionalFormatting>
  <conditionalFormatting sqref="G23">
    <cfRule type="cellIs" dxfId="754" priority="690" stopIfTrue="1" operator="lessThan">
      <formula>0.5</formula>
    </cfRule>
    <cfRule type="cellIs" dxfId="753" priority="691" stopIfTrue="1" operator="between">
      <formula>0.5</formula>
      <formula>0.75</formula>
    </cfRule>
    <cfRule type="cellIs" dxfId="752" priority="692" stopIfTrue="1" operator="greaterThan">
      <formula>0.75</formula>
    </cfRule>
  </conditionalFormatting>
  <conditionalFormatting sqref="G24">
    <cfRule type="cellIs" dxfId="751" priority="687" stopIfTrue="1" operator="lessThan">
      <formula>0.5</formula>
    </cfRule>
    <cfRule type="cellIs" dxfId="750" priority="688" stopIfTrue="1" operator="between">
      <formula>0.5</formula>
      <formula>0.75</formula>
    </cfRule>
    <cfRule type="cellIs" dxfId="749" priority="689" stopIfTrue="1" operator="greaterThan">
      <formula>0.75</formula>
    </cfRule>
  </conditionalFormatting>
  <conditionalFormatting sqref="G27">
    <cfRule type="cellIs" dxfId="748" priority="684" stopIfTrue="1" operator="lessThan">
      <formula>0.5</formula>
    </cfRule>
    <cfRule type="cellIs" dxfId="747" priority="685" stopIfTrue="1" operator="between">
      <formula>0.5</formula>
      <formula>0.75</formula>
    </cfRule>
    <cfRule type="cellIs" dxfId="746" priority="686" stopIfTrue="1" operator="greaterThan">
      <formula>0.75</formula>
    </cfRule>
  </conditionalFormatting>
  <conditionalFormatting sqref="G28:G29 G42">
    <cfRule type="cellIs" dxfId="745" priority="681" stopIfTrue="1" operator="lessThan">
      <formula>0.5</formula>
    </cfRule>
    <cfRule type="cellIs" dxfId="744" priority="682" stopIfTrue="1" operator="between">
      <formula>0.5</formula>
      <formula>0.75</formula>
    </cfRule>
    <cfRule type="cellIs" dxfId="743" priority="683" stopIfTrue="1" operator="greaterThan">
      <formula>0.75</formula>
    </cfRule>
  </conditionalFormatting>
  <conditionalFormatting sqref="G30:G32">
    <cfRule type="cellIs" dxfId="742" priority="678" stopIfTrue="1" operator="lessThan">
      <formula>0.5</formula>
    </cfRule>
    <cfRule type="cellIs" dxfId="741" priority="679" stopIfTrue="1" operator="between">
      <formula>0.5</formula>
      <formula>0.75</formula>
    </cfRule>
    <cfRule type="cellIs" dxfId="740" priority="680" stopIfTrue="1" operator="greaterThan">
      <formula>0.75</formula>
    </cfRule>
  </conditionalFormatting>
  <conditionalFormatting sqref="G31">
    <cfRule type="cellIs" dxfId="739" priority="675" stopIfTrue="1" operator="lessThan">
      <formula>0.5</formula>
    </cfRule>
    <cfRule type="cellIs" dxfId="738" priority="676" stopIfTrue="1" operator="between">
      <formula>0.5</formula>
      <formula>0.75</formula>
    </cfRule>
    <cfRule type="cellIs" dxfId="737" priority="677" stopIfTrue="1" operator="greaterThan">
      <formula>0.75</formula>
    </cfRule>
  </conditionalFormatting>
  <conditionalFormatting sqref="G32:G33">
    <cfRule type="cellIs" dxfId="736" priority="672" stopIfTrue="1" operator="lessThan">
      <formula>0.5</formula>
    </cfRule>
    <cfRule type="cellIs" dxfId="735" priority="673" stopIfTrue="1" operator="between">
      <formula>0.5</formula>
      <formula>0.75</formula>
    </cfRule>
    <cfRule type="cellIs" dxfId="734" priority="674" stopIfTrue="1" operator="greaterThan">
      <formula>0.75</formula>
    </cfRule>
  </conditionalFormatting>
  <conditionalFormatting sqref="G34">
    <cfRule type="cellIs" dxfId="733" priority="669" stopIfTrue="1" operator="lessThan">
      <formula>0.5</formula>
    </cfRule>
    <cfRule type="cellIs" dxfId="732" priority="670" stopIfTrue="1" operator="between">
      <formula>0.5</formula>
      <formula>0.75</formula>
    </cfRule>
    <cfRule type="cellIs" dxfId="731" priority="671" stopIfTrue="1" operator="greaterThan">
      <formula>0.75</formula>
    </cfRule>
  </conditionalFormatting>
  <conditionalFormatting sqref="G35">
    <cfRule type="cellIs" dxfId="730" priority="666" stopIfTrue="1" operator="lessThan">
      <formula>0.5</formula>
    </cfRule>
    <cfRule type="cellIs" dxfId="729" priority="667" stopIfTrue="1" operator="between">
      <formula>0.5</formula>
      <formula>0.75</formula>
    </cfRule>
    <cfRule type="cellIs" dxfId="728" priority="668" stopIfTrue="1" operator="greaterThan">
      <formula>0.75</formula>
    </cfRule>
  </conditionalFormatting>
  <conditionalFormatting sqref="G43:G46">
    <cfRule type="cellIs" dxfId="727" priority="663" stopIfTrue="1" operator="lessThan">
      <formula>0.5</formula>
    </cfRule>
    <cfRule type="cellIs" dxfId="726" priority="664" stopIfTrue="1" operator="between">
      <formula>0.5</formula>
      <formula>0.75</formula>
    </cfRule>
    <cfRule type="cellIs" dxfId="725" priority="665" stopIfTrue="1" operator="greaterThan">
      <formula>0.75</formula>
    </cfRule>
  </conditionalFormatting>
  <conditionalFormatting sqref="G44">
    <cfRule type="cellIs" dxfId="724" priority="660" stopIfTrue="1" operator="lessThan">
      <formula>0.5</formula>
    </cfRule>
    <cfRule type="cellIs" dxfId="723" priority="661" stopIfTrue="1" operator="between">
      <formula>0.5</formula>
      <formula>0.75</formula>
    </cfRule>
    <cfRule type="cellIs" dxfId="722" priority="662" stopIfTrue="1" operator="greaterThan">
      <formula>0.75</formula>
    </cfRule>
  </conditionalFormatting>
  <conditionalFormatting sqref="G45">
    <cfRule type="cellIs" dxfId="721" priority="657" stopIfTrue="1" operator="lessThan">
      <formula>0.5</formula>
    </cfRule>
    <cfRule type="cellIs" dxfId="720" priority="658" stopIfTrue="1" operator="between">
      <formula>0.5</formula>
      <formula>0.75</formula>
    </cfRule>
    <cfRule type="cellIs" dxfId="719" priority="659" stopIfTrue="1" operator="greaterThan">
      <formula>0.75</formula>
    </cfRule>
  </conditionalFormatting>
  <conditionalFormatting sqref="G46">
    <cfRule type="cellIs" dxfId="718" priority="654" stopIfTrue="1" operator="lessThan">
      <formula>0.5</formula>
    </cfRule>
    <cfRule type="cellIs" dxfId="717" priority="655" stopIfTrue="1" operator="between">
      <formula>0.5</formula>
      <formula>0.75</formula>
    </cfRule>
    <cfRule type="cellIs" dxfId="716" priority="656" stopIfTrue="1" operator="greaterThan">
      <formula>0.75</formula>
    </cfRule>
  </conditionalFormatting>
  <conditionalFormatting sqref="G38:G39">
    <cfRule type="cellIs" dxfId="715" priority="651" stopIfTrue="1" operator="lessThan">
      <formula>0.5</formula>
    </cfRule>
    <cfRule type="cellIs" dxfId="714" priority="652" stopIfTrue="1" operator="between">
      <formula>0.5</formula>
      <formula>0.75</formula>
    </cfRule>
    <cfRule type="cellIs" dxfId="713" priority="653" stopIfTrue="1" operator="greaterThan">
      <formula>0.75</formula>
    </cfRule>
  </conditionalFormatting>
  <conditionalFormatting sqref="G37">
    <cfRule type="cellIs" dxfId="712" priority="648" stopIfTrue="1" operator="lessThan">
      <formula>0.5</formula>
    </cfRule>
    <cfRule type="cellIs" dxfId="711" priority="649" stopIfTrue="1" operator="between">
      <formula>0.5</formula>
      <formula>0.75</formula>
    </cfRule>
    <cfRule type="cellIs" dxfId="710" priority="650" stopIfTrue="1" operator="greaterThan">
      <formula>0.75</formula>
    </cfRule>
  </conditionalFormatting>
  <conditionalFormatting sqref="G40">
    <cfRule type="cellIs" dxfId="709" priority="645" stopIfTrue="1" operator="lessThan">
      <formula>0.5</formula>
    </cfRule>
    <cfRule type="cellIs" dxfId="708" priority="646" stopIfTrue="1" operator="between">
      <formula>0.5</formula>
      <formula>0.75</formula>
    </cfRule>
    <cfRule type="cellIs" dxfId="707" priority="647" stopIfTrue="1" operator="greaterThan">
      <formula>0.75</formula>
    </cfRule>
  </conditionalFormatting>
  <conditionalFormatting sqref="G41">
    <cfRule type="cellIs" dxfId="706" priority="642" stopIfTrue="1" operator="lessThan">
      <formula>0.5</formula>
    </cfRule>
    <cfRule type="cellIs" dxfId="705" priority="643" stopIfTrue="1" operator="between">
      <formula>0.5</formula>
      <formula>0.75</formula>
    </cfRule>
    <cfRule type="cellIs" dxfId="704" priority="644" stopIfTrue="1" operator="greaterThan">
      <formula>0.75</formula>
    </cfRule>
  </conditionalFormatting>
  <conditionalFormatting sqref="C47">
    <cfRule type="cellIs" dxfId="703" priority="639" stopIfTrue="1" operator="greaterThanOrEqual">
      <formula>0.8</formula>
    </cfRule>
    <cfRule type="cellIs" dxfId="702" priority="640" stopIfTrue="1" operator="between">
      <formula>0.5</formula>
      <formula>0.799</formula>
    </cfRule>
    <cfRule type="cellIs" dxfId="701" priority="641" stopIfTrue="1" operator="lessThan">
      <formula>0.5</formula>
    </cfRule>
  </conditionalFormatting>
  <conditionalFormatting sqref="G48:G49">
    <cfRule type="cellIs" dxfId="700" priority="636" stopIfTrue="1" operator="lessThan">
      <formula>0.5</formula>
    </cfRule>
    <cfRule type="cellIs" dxfId="699" priority="637" stopIfTrue="1" operator="between">
      <formula>0.5</formula>
      <formula>0.75</formula>
    </cfRule>
    <cfRule type="cellIs" dxfId="698" priority="638" stopIfTrue="1" operator="greaterThan">
      <formula>0.75</formula>
    </cfRule>
  </conditionalFormatting>
  <conditionalFormatting sqref="G49">
    <cfRule type="cellIs" dxfId="697" priority="633" stopIfTrue="1" operator="lessThan">
      <formula>0.5</formula>
    </cfRule>
    <cfRule type="cellIs" dxfId="696" priority="634" stopIfTrue="1" operator="between">
      <formula>0.5</formula>
      <formula>0.75</formula>
    </cfRule>
    <cfRule type="cellIs" dxfId="695" priority="635" stopIfTrue="1" operator="greaterThan">
      <formula>0.75</formula>
    </cfRule>
  </conditionalFormatting>
  <conditionalFormatting sqref="G50">
    <cfRule type="cellIs" dxfId="694" priority="630" stopIfTrue="1" operator="lessThan">
      <formula>0.5</formula>
    </cfRule>
    <cfRule type="cellIs" dxfId="693" priority="631" stopIfTrue="1" operator="between">
      <formula>0.5</formula>
      <formula>0.75</formula>
    </cfRule>
    <cfRule type="cellIs" dxfId="692" priority="632" stopIfTrue="1" operator="greaterThan">
      <formula>0.75</formula>
    </cfRule>
  </conditionalFormatting>
  <conditionalFormatting sqref="G52:G57">
    <cfRule type="cellIs" dxfId="691" priority="627" stopIfTrue="1" operator="lessThan">
      <formula>0.5</formula>
    </cfRule>
    <cfRule type="cellIs" dxfId="690" priority="628" stopIfTrue="1" operator="between">
      <formula>0.5</formula>
      <formula>0.75</formula>
    </cfRule>
    <cfRule type="cellIs" dxfId="689" priority="629" stopIfTrue="1" operator="greaterThan">
      <formula>0.75</formula>
    </cfRule>
  </conditionalFormatting>
  <conditionalFormatting sqref="G53">
    <cfRule type="cellIs" dxfId="688" priority="624" stopIfTrue="1" operator="lessThan">
      <formula>0.5</formula>
    </cfRule>
    <cfRule type="cellIs" dxfId="687" priority="625" stopIfTrue="1" operator="between">
      <formula>0.5</formula>
      <formula>0.75</formula>
    </cfRule>
    <cfRule type="cellIs" dxfId="686" priority="626" stopIfTrue="1" operator="greaterThan">
      <formula>0.75</formula>
    </cfRule>
  </conditionalFormatting>
  <conditionalFormatting sqref="G54">
    <cfRule type="cellIs" dxfId="685" priority="621" stopIfTrue="1" operator="lessThan">
      <formula>0.5</formula>
    </cfRule>
    <cfRule type="cellIs" dxfId="684" priority="622" stopIfTrue="1" operator="between">
      <formula>0.5</formula>
      <formula>0.75</formula>
    </cfRule>
    <cfRule type="cellIs" dxfId="683" priority="623" stopIfTrue="1" operator="greaterThan">
      <formula>0.75</formula>
    </cfRule>
  </conditionalFormatting>
  <conditionalFormatting sqref="G55">
    <cfRule type="cellIs" dxfId="682" priority="618" stopIfTrue="1" operator="lessThan">
      <formula>0.5</formula>
    </cfRule>
    <cfRule type="cellIs" dxfId="681" priority="619" stopIfTrue="1" operator="between">
      <formula>0.5</formula>
      <formula>0.75</formula>
    </cfRule>
    <cfRule type="cellIs" dxfId="680" priority="620" stopIfTrue="1" operator="greaterThan">
      <formula>0.75</formula>
    </cfRule>
  </conditionalFormatting>
  <conditionalFormatting sqref="G56">
    <cfRule type="cellIs" dxfId="679" priority="615" stopIfTrue="1" operator="lessThan">
      <formula>0.5</formula>
    </cfRule>
    <cfRule type="cellIs" dxfId="678" priority="616" stopIfTrue="1" operator="between">
      <formula>0.5</formula>
      <formula>0.75</formula>
    </cfRule>
    <cfRule type="cellIs" dxfId="677" priority="617" stopIfTrue="1" operator="greaterThan">
      <formula>0.75</formula>
    </cfRule>
  </conditionalFormatting>
  <conditionalFormatting sqref="G57:G58 G63">
    <cfRule type="cellIs" dxfId="676" priority="612" stopIfTrue="1" operator="lessThan">
      <formula>0.5</formula>
    </cfRule>
    <cfRule type="cellIs" dxfId="675" priority="613" stopIfTrue="1" operator="between">
      <formula>0.5</formula>
      <formula>0.75</formula>
    </cfRule>
    <cfRule type="cellIs" dxfId="674" priority="614" stopIfTrue="1" operator="greaterThan">
      <formula>0.75</formula>
    </cfRule>
  </conditionalFormatting>
  <conditionalFormatting sqref="G59:G61">
    <cfRule type="cellIs" dxfId="673" priority="609" stopIfTrue="1" operator="lessThan">
      <formula>0.5</formula>
    </cfRule>
    <cfRule type="cellIs" dxfId="672" priority="610" stopIfTrue="1" operator="between">
      <formula>0.5</formula>
      <formula>0.75</formula>
    </cfRule>
    <cfRule type="cellIs" dxfId="671" priority="611" stopIfTrue="1" operator="greaterThan">
      <formula>0.75</formula>
    </cfRule>
  </conditionalFormatting>
  <conditionalFormatting sqref="G60">
    <cfRule type="cellIs" dxfId="670" priority="606" stopIfTrue="1" operator="lessThan">
      <formula>0.5</formula>
    </cfRule>
    <cfRule type="cellIs" dxfId="669" priority="607" stopIfTrue="1" operator="between">
      <formula>0.5</formula>
      <formula>0.75</formula>
    </cfRule>
    <cfRule type="cellIs" dxfId="668" priority="608" stopIfTrue="1" operator="greaterThan">
      <formula>0.75</formula>
    </cfRule>
  </conditionalFormatting>
  <conditionalFormatting sqref="G61">
    <cfRule type="cellIs" dxfId="667" priority="603" stopIfTrue="1" operator="lessThan">
      <formula>0.5</formula>
    </cfRule>
    <cfRule type="cellIs" dxfId="666" priority="604" stopIfTrue="1" operator="between">
      <formula>0.5</formula>
      <formula>0.75</formula>
    </cfRule>
    <cfRule type="cellIs" dxfId="665" priority="605" stopIfTrue="1" operator="greaterThan">
      <formula>0.75</formula>
    </cfRule>
  </conditionalFormatting>
  <conditionalFormatting sqref="G65">
    <cfRule type="cellIs" dxfId="664" priority="597" stopIfTrue="1" operator="lessThan">
      <formula>0.5</formula>
    </cfRule>
    <cfRule type="cellIs" dxfId="663" priority="598" stopIfTrue="1" operator="between">
      <formula>0.5</formula>
      <formula>0.75</formula>
    </cfRule>
    <cfRule type="cellIs" dxfId="662" priority="599" stopIfTrue="1" operator="greaterThan">
      <formula>0.75</formula>
    </cfRule>
  </conditionalFormatting>
  <conditionalFormatting sqref="C64">
    <cfRule type="cellIs" dxfId="661" priority="600" stopIfTrue="1" operator="greaterThanOrEqual">
      <formula>0.8</formula>
    </cfRule>
    <cfRule type="cellIs" dxfId="660" priority="601" stopIfTrue="1" operator="between">
      <formula>0.5</formula>
      <formula>0.799</formula>
    </cfRule>
    <cfRule type="cellIs" dxfId="659" priority="602" stopIfTrue="1" operator="lessThan">
      <formula>0.5</formula>
    </cfRule>
  </conditionalFormatting>
  <conditionalFormatting sqref="G76">
    <cfRule type="cellIs" dxfId="658" priority="585" stopIfTrue="1" operator="lessThan">
      <formula>0.5</formula>
    </cfRule>
    <cfRule type="cellIs" dxfId="657" priority="586" stopIfTrue="1" operator="between">
      <formula>0.5</formula>
      <formula>0.75</formula>
    </cfRule>
    <cfRule type="cellIs" dxfId="656" priority="587" stopIfTrue="1" operator="greaterThan">
      <formula>0.75</formula>
    </cfRule>
  </conditionalFormatting>
  <conditionalFormatting sqref="G70 G72:G73">
    <cfRule type="cellIs" dxfId="655" priority="594" stopIfTrue="1" operator="lessThan">
      <formula>0.5</formula>
    </cfRule>
    <cfRule type="cellIs" dxfId="654" priority="595" stopIfTrue="1" operator="between">
      <formula>0.5</formula>
      <formula>0.75</formula>
    </cfRule>
    <cfRule type="cellIs" dxfId="653" priority="596" stopIfTrue="1" operator="greaterThan">
      <formula>0.75</formula>
    </cfRule>
  </conditionalFormatting>
  <conditionalFormatting sqref="G74:G78">
    <cfRule type="cellIs" dxfId="652" priority="591" stopIfTrue="1" operator="lessThan">
      <formula>0.5</formula>
    </cfRule>
    <cfRule type="cellIs" dxfId="651" priority="592" stopIfTrue="1" operator="between">
      <formula>0.5</formula>
      <formula>0.75</formula>
    </cfRule>
    <cfRule type="cellIs" dxfId="650" priority="593" stopIfTrue="1" operator="greaterThan">
      <formula>0.75</formula>
    </cfRule>
  </conditionalFormatting>
  <conditionalFormatting sqref="G75">
    <cfRule type="cellIs" dxfId="649" priority="588" stopIfTrue="1" operator="lessThan">
      <formula>0.5</formula>
    </cfRule>
    <cfRule type="cellIs" dxfId="648" priority="589" stopIfTrue="1" operator="between">
      <formula>0.5</formula>
      <formula>0.75</formula>
    </cfRule>
    <cfRule type="cellIs" dxfId="647" priority="590" stopIfTrue="1" operator="greaterThan">
      <formula>0.75</formula>
    </cfRule>
  </conditionalFormatting>
  <conditionalFormatting sqref="G78">
    <cfRule type="cellIs" dxfId="646" priority="579" stopIfTrue="1" operator="lessThan">
      <formula>0.5</formula>
    </cfRule>
    <cfRule type="cellIs" dxfId="645" priority="580" stopIfTrue="1" operator="between">
      <formula>0.5</formula>
      <formula>0.75</formula>
    </cfRule>
    <cfRule type="cellIs" dxfId="644" priority="581" stopIfTrue="1" operator="greaterThan">
      <formula>0.75</formula>
    </cfRule>
  </conditionalFormatting>
  <conditionalFormatting sqref="G77">
    <cfRule type="cellIs" dxfId="643" priority="582" stopIfTrue="1" operator="lessThan">
      <formula>0.5</formula>
    </cfRule>
    <cfRule type="cellIs" dxfId="642" priority="583" stopIfTrue="1" operator="between">
      <formula>0.5</formula>
      <formula>0.75</formula>
    </cfRule>
    <cfRule type="cellIs" dxfId="641" priority="584" stopIfTrue="1" operator="greaterThan">
      <formula>0.75</formula>
    </cfRule>
  </conditionalFormatting>
  <conditionalFormatting sqref="C82">
    <cfRule type="cellIs" dxfId="640" priority="459" stopIfTrue="1" operator="greaterThanOrEqual">
      <formula>0.8</formula>
    </cfRule>
    <cfRule type="cellIs" dxfId="639" priority="460" stopIfTrue="1" operator="between">
      <formula>0.5</formula>
      <formula>0.799</formula>
    </cfRule>
    <cfRule type="cellIs" dxfId="638" priority="461" stopIfTrue="1" operator="lessThan">
      <formula>0.5</formula>
    </cfRule>
  </conditionalFormatting>
  <conditionalFormatting sqref="G84">
    <cfRule type="cellIs" dxfId="637" priority="456" stopIfTrue="1" operator="lessThan">
      <formula>0.5</formula>
    </cfRule>
    <cfRule type="cellIs" dxfId="636" priority="457" stopIfTrue="1" operator="between">
      <formula>0.5</formula>
      <formula>0.75</formula>
    </cfRule>
    <cfRule type="cellIs" dxfId="635" priority="458" stopIfTrue="1" operator="greaterThan">
      <formula>0.75</formula>
    </cfRule>
  </conditionalFormatting>
  <conditionalFormatting sqref="G86">
    <cfRule type="cellIs" dxfId="634" priority="453" stopIfTrue="1" operator="lessThan">
      <formula>0.5</formula>
    </cfRule>
    <cfRule type="cellIs" dxfId="633" priority="454" stopIfTrue="1" operator="between">
      <formula>0.5</formula>
      <formula>0.75</formula>
    </cfRule>
    <cfRule type="cellIs" dxfId="632" priority="455" stopIfTrue="1" operator="greaterThan">
      <formula>0.75</formula>
    </cfRule>
  </conditionalFormatting>
  <conditionalFormatting sqref="G87">
    <cfRule type="cellIs" dxfId="631" priority="450" stopIfTrue="1" operator="lessThan">
      <formula>0.5</formula>
    </cfRule>
    <cfRule type="cellIs" dxfId="630" priority="451" stopIfTrue="1" operator="between">
      <formula>0.5</formula>
      <formula>0.75</formula>
    </cfRule>
    <cfRule type="cellIs" dxfId="629" priority="452" stopIfTrue="1" operator="greaterThan">
      <formula>0.75</formula>
    </cfRule>
  </conditionalFormatting>
  <conditionalFormatting sqref="G92 G85:G87">
    <cfRule type="cellIs" dxfId="628" priority="447" stopIfTrue="1" operator="lessThan">
      <formula>0.5</formula>
    </cfRule>
    <cfRule type="cellIs" dxfId="627" priority="448" stopIfTrue="1" operator="between">
      <formula>0.5</formula>
      <formula>0.75</formula>
    </cfRule>
    <cfRule type="cellIs" dxfId="626" priority="449" stopIfTrue="1" operator="greaterThan">
      <formula>0.75</formula>
    </cfRule>
  </conditionalFormatting>
  <conditionalFormatting sqref="G93:G95">
    <cfRule type="cellIs" dxfId="625" priority="444" stopIfTrue="1" operator="lessThan">
      <formula>0.5</formula>
    </cfRule>
    <cfRule type="cellIs" dxfId="624" priority="445" stopIfTrue="1" operator="between">
      <formula>0.5</formula>
      <formula>0.75</formula>
    </cfRule>
    <cfRule type="cellIs" dxfId="623" priority="446" stopIfTrue="1" operator="greaterThan">
      <formula>0.75</formula>
    </cfRule>
  </conditionalFormatting>
  <conditionalFormatting sqref="G1:G13 G72:G78 G80:G87 G92:G1048576 G15:G66 G68:G70">
    <cfRule type="containsText" dxfId="622" priority="176" stopIfTrue="1" operator="containsText" text="RED FLAG">
      <formula>NOT(ISERROR(SEARCH("RED FLAG",G1)))</formula>
    </cfRule>
  </conditionalFormatting>
  <conditionalFormatting sqref="I20">
    <cfRule type="cellIs" dxfId="621" priority="63" stopIfTrue="1" operator="lessThan">
      <formula>0.5</formula>
    </cfRule>
    <cfRule type="cellIs" dxfId="620" priority="64" stopIfTrue="1" operator="between">
      <formula>0.5</formula>
      <formula>0.75</formula>
    </cfRule>
    <cfRule type="cellIs" dxfId="619" priority="65" stopIfTrue="1" operator="greaterThan">
      <formula>0.75</formula>
    </cfRule>
  </conditionalFormatting>
  <conditionalFormatting sqref="I20">
    <cfRule type="containsText" dxfId="618" priority="62" stopIfTrue="1" operator="containsText" text="RED FLAG">
      <formula>NOT(ISERROR(SEARCH("RED FLAG",I20)))</formula>
    </cfRule>
  </conditionalFormatting>
  <conditionalFormatting sqref="I67:I68 I71 I79 I91">
    <cfRule type="containsText" dxfId="617" priority="61" operator="containsText" text="Training Opportunity">
      <formula>NOT(ISERROR(SEARCH("Training Opportunity",I67)))</formula>
    </cfRule>
  </conditionalFormatting>
  <conditionalFormatting sqref="I93:I95">
    <cfRule type="cellIs" dxfId="616" priority="54" stopIfTrue="1" operator="lessThan">
      <formula>0.5</formula>
    </cfRule>
    <cfRule type="cellIs" dxfId="615" priority="55" stopIfTrue="1" operator="between">
      <formula>0.5</formula>
      <formula>0.75</formula>
    </cfRule>
    <cfRule type="cellIs" dxfId="614" priority="56" stopIfTrue="1" operator="greaterThan">
      <formula>0.75</formula>
    </cfRule>
  </conditionalFormatting>
  <conditionalFormatting sqref="I93:I95">
    <cfRule type="containsText" dxfId="613" priority="53" stopIfTrue="1" operator="containsText" text="RED FLAG">
      <formula>NOT(ISERROR(SEARCH("RED FLAG",I93)))</formula>
    </cfRule>
  </conditionalFormatting>
  <conditionalFormatting sqref="I76">
    <cfRule type="cellIs" dxfId="612" priority="50" stopIfTrue="1" operator="lessThan">
      <formula>0.5</formula>
    </cfRule>
    <cfRule type="cellIs" dxfId="611" priority="51" stopIfTrue="1" operator="between">
      <formula>0.5</formula>
      <formula>0.75</formula>
    </cfRule>
    <cfRule type="cellIs" dxfId="610" priority="52" stopIfTrue="1" operator="greaterThan">
      <formula>0.75</formula>
    </cfRule>
  </conditionalFormatting>
  <conditionalFormatting sqref="I76">
    <cfRule type="containsText" dxfId="609" priority="49" stopIfTrue="1" operator="containsText" text="RED FLAG">
      <formula>NOT(ISERROR(SEARCH("RED FLAG",I76)))</formula>
    </cfRule>
  </conditionalFormatting>
  <conditionalFormatting sqref="I65">
    <cfRule type="cellIs" dxfId="608" priority="46" stopIfTrue="1" operator="lessThan">
      <formula>0.5</formula>
    </cfRule>
    <cfRule type="cellIs" dxfId="607" priority="47" stopIfTrue="1" operator="between">
      <formula>0.5</formula>
      <formula>0.75</formula>
    </cfRule>
    <cfRule type="cellIs" dxfId="606" priority="48" stopIfTrue="1" operator="greaterThan">
      <formula>0.75</formula>
    </cfRule>
  </conditionalFormatting>
  <conditionalFormatting sqref="I65">
    <cfRule type="containsText" dxfId="605" priority="45" stopIfTrue="1" operator="containsText" text="RED FLAG">
      <formula>NOT(ISERROR(SEARCH("RED FLAG",I65)))</formula>
    </cfRule>
  </conditionalFormatting>
  <conditionalFormatting sqref="I88">
    <cfRule type="containsText" dxfId="604" priority="44" operator="containsText" text="System Flag">
      <formula>NOT(ISERROR(SEARCH("System Flag",I88)))</formula>
    </cfRule>
  </conditionalFormatting>
  <conditionalFormatting sqref="G20">
    <cfRule type="cellIs" dxfId="603" priority="41" stopIfTrue="1" operator="lessThan">
      <formula>0.5</formula>
    </cfRule>
    <cfRule type="cellIs" dxfId="602" priority="42" stopIfTrue="1" operator="between">
      <formula>0.5</formula>
      <formula>0.75</formula>
    </cfRule>
    <cfRule type="cellIs" dxfId="601" priority="43" stopIfTrue="1" operator="greaterThan">
      <formula>0.75</formula>
    </cfRule>
  </conditionalFormatting>
  <conditionalFormatting sqref="G20">
    <cfRule type="cellIs" dxfId="600" priority="38" stopIfTrue="1" operator="lessThan">
      <formula>0.5</formula>
    </cfRule>
    <cfRule type="cellIs" dxfId="599" priority="39" stopIfTrue="1" operator="between">
      <formula>0.5</formula>
      <formula>0.75</formula>
    </cfRule>
    <cfRule type="cellIs" dxfId="598" priority="40" stopIfTrue="1" operator="greaterThan">
      <formula>0.75</formula>
    </cfRule>
  </conditionalFormatting>
  <conditionalFormatting sqref="G21:G23">
    <cfRule type="cellIs" dxfId="597" priority="35" stopIfTrue="1" operator="lessThan">
      <formula>0.5</formula>
    </cfRule>
    <cfRule type="cellIs" dxfId="596" priority="36" stopIfTrue="1" operator="between">
      <formula>0.5</formula>
      <formula>0.75</formula>
    </cfRule>
    <cfRule type="cellIs" dxfId="595" priority="37" stopIfTrue="1" operator="greaterThan">
      <formula>0.75</formula>
    </cfRule>
  </conditionalFormatting>
  <conditionalFormatting sqref="G40 G28 G35">
    <cfRule type="cellIs" dxfId="594" priority="32" stopIfTrue="1" operator="lessThan">
      <formula>0.5</formula>
    </cfRule>
    <cfRule type="cellIs" dxfId="593" priority="33" stopIfTrue="1" operator="between">
      <formula>0.5</formula>
      <formula>0.75</formula>
    </cfRule>
    <cfRule type="cellIs" dxfId="592" priority="34" stopIfTrue="1" operator="greaterThan">
      <formula>0.75</formula>
    </cfRule>
  </conditionalFormatting>
  <conditionalFormatting sqref="G41 G34 G36:G38 G43:G46">
    <cfRule type="cellIs" dxfId="591" priority="29" stopIfTrue="1" operator="lessThan">
      <formula>0.5</formula>
    </cfRule>
    <cfRule type="cellIs" dxfId="590" priority="30" stopIfTrue="1" operator="between">
      <formula>0.5</formula>
      <formula>0.75</formula>
    </cfRule>
    <cfRule type="cellIs" dxfId="589" priority="31" stopIfTrue="1" operator="greaterThan">
      <formula>0.75</formula>
    </cfRule>
  </conditionalFormatting>
  <conditionalFormatting sqref="G52:G57 G59:G61">
    <cfRule type="cellIs" dxfId="588" priority="26" stopIfTrue="1" operator="lessThan">
      <formula>0.5</formula>
    </cfRule>
    <cfRule type="cellIs" dxfId="587" priority="27" stopIfTrue="1" operator="between">
      <formula>0.5</formula>
      <formula>0.75</formula>
    </cfRule>
    <cfRule type="cellIs" dxfId="586" priority="28" stopIfTrue="1" operator="greaterThan">
      <formula>0.75</formula>
    </cfRule>
  </conditionalFormatting>
  <conditionalFormatting sqref="G70 G74:G78">
    <cfRule type="cellIs" dxfId="585" priority="23" stopIfTrue="1" operator="lessThan">
      <formula>0.5</formula>
    </cfRule>
    <cfRule type="cellIs" dxfId="584" priority="24" stopIfTrue="1" operator="between">
      <formula>0.5</formula>
      <formula>0.75</formula>
    </cfRule>
    <cfRule type="cellIs" dxfId="583" priority="25" stopIfTrue="1" operator="greaterThan">
      <formula>0.75</formula>
    </cfRule>
  </conditionalFormatting>
  <conditionalFormatting sqref="G71">
    <cfRule type="cellIs" dxfId="582" priority="20" stopIfTrue="1" operator="lessThan">
      <formula>0.5</formula>
    </cfRule>
    <cfRule type="cellIs" dxfId="581" priority="21" stopIfTrue="1" operator="between">
      <formula>0.5</formula>
      <formula>0.75</formula>
    </cfRule>
    <cfRule type="cellIs" dxfId="580" priority="22" stopIfTrue="1" operator="greaterThan">
      <formula>0.75</formula>
    </cfRule>
  </conditionalFormatting>
  <conditionalFormatting sqref="G71">
    <cfRule type="containsText" dxfId="579" priority="19" stopIfTrue="1" operator="containsText" text="RED FLAG">
      <formula>NOT(ISERROR(SEARCH("RED FLAG",G71)))</formula>
    </cfRule>
  </conditionalFormatting>
  <conditionalFormatting sqref="G79">
    <cfRule type="cellIs" dxfId="578" priority="16" stopIfTrue="1" operator="lessThan">
      <formula>0.5</formula>
    </cfRule>
    <cfRule type="cellIs" dxfId="577" priority="17" stopIfTrue="1" operator="between">
      <formula>0.5</formula>
      <formula>0.75</formula>
    </cfRule>
    <cfRule type="cellIs" dxfId="576" priority="18" stopIfTrue="1" operator="greaterThan">
      <formula>0.75</formula>
    </cfRule>
  </conditionalFormatting>
  <conditionalFormatting sqref="G79">
    <cfRule type="containsText" dxfId="575" priority="15" stopIfTrue="1" operator="containsText" text="RED FLAG">
      <formula>NOT(ISERROR(SEARCH("RED FLAG",G79)))</formula>
    </cfRule>
  </conditionalFormatting>
  <conditionalFormatting sqref="G93:G95">
    <cfRule type="cellIs" dxfId="574" priority="12" stopIfTrue="1" operator="lessThan">
      <formula>0.5</formula>
    </cfRule>
    <cfRule type="cellIs" dxfId="573" priority="13" stopIfTrue="1" operator="between">
      <formula>0.5</formula>
      <formula>0.75</formula>
    </cfRule>
    <cfRule type="cellIs" dxfId="572" priority="14" stopIfTrue="1" operator="greaterThan">
      <formula>0.75</formula>
    </cfRule>
  </conditionalFormatting>
  <conditionalFormatting sqref="G93:G95">
    <cfRule type="cellIs" dxfId="571" priority="9" stopIfTrue="1" operator="lessThan">
      <formula>0.5</formula>
    </cfRule>
    <cfRule type="cellIs" dxfId="570" priority="10" stopIfTrue="1" operator="between">
      <formula>0.5</formula>
      <formula>0.75</formula>
    </cfRule>
    <cfRule type="cellIs" dxfId="569" priority="11" stopIfTrue="1" operator="greaterThan">
      <formula>0.75</formula>
    </cfRule>
  </conditionalFormatting>
  <conditionalFormatting sqref="G91 G67:G68">
    <cfRule type="cellIs" dxfId="568" priority="2" stopIfTrue="1" operator="lessThan">
      <formula>0.5</formula>
    </cfRule>
    <cfRule type="cellIs" dxfId="567" priority="3" stopIfTrue="1" operator="between">
      <formula>0.5</formula>
      <formula>0.75</formula>
    </cfRule>
    <cfRule type="cellIs" dxfId="566" priority="4" stopIfTrue="1" operator="greaterThan">
      <formula>0.75</formula>
    </cfRule>
  </conditionalFormatting>
  <conditionalFormatting sqref="G91 G67:G68">
    <cfRule type="containsText" dxfId="565" priority="1" stopIfTrue="1" operator="containsText" text="RED FLAG">
      <formula>NOT(ISERROR(SEARCH("RED FLAG",G67)))</formula>
    </cfRule>
  </conditionalFormatting>
  <dataValidations count="4">
    <dataValidation type="list" allowBlank="1" showInputMessage="1" showErrorMessage="1" sqref="C24 C71 C67:C68 C79 C91" xr:uid="{00000000-0002-0000-0F00-000000000000}">
      <formula1>"1,2,3"</formula1>
    </dataValidation>
    <dataValidation type="list" allowBlank="1" showInputMessage="1" showErrorMessage="1" sqref="C65 C61 C93:C95 C7 C10:C11 C45 C36" xr:uid="{00000000-0002-0000-0F00-000001000000}">
      <formula1>"Yes,No,NA"</formula1>
    </dataValidation>
    <dataValidation type="list" allowBlank="1" showInputMessage="1" showErrorMessage="1" sqref="C16:C23 C27:C28 C48:C50 C52:C57 C74:C78 C59:C60 C70 C12:C13 C4:C6 C85:C88 C46 C43:C44 C30:C32 C34:C35 C40:C41 C37:C38 C8:C9" xr:uid="{00000000-0002-0000-0F00-000002000000}">
      <formula1>"Yes,No"</formula1>
    </dataValidation>
    <dataValidation type="list" allowBlank="1" showInputMessage="1" showErrorMessage="1" sqref="C84" xr:uid="{00000000-0002-0000-0F00-000003000000}">
      <formula1>"1,2,3,4"</formula1>
    </dataValidation>
  </dataValidations>
  <hyperlinks>
    <hyperlink ref="B89" r:id="rId1" display="http://www.eucast.org/ast_of_bacteria/guidance_documents/  " xr:uid="{00000000-0004-0000-0F00-000000000000}"/>
    <hyperlink ref="B90" r:id="rId2" display="http://clsi-m100.com/" xr:uid="{00000000-0004-0000-0F00-000001000000}"/>
  </hyperlinks>
  <pageMargins left="0.25" right="0.25" top="0.75000000000000011" bottom="0.75000000000000011" header="0.30000000000000004" footer="0.30000000000000004"/>
  <pageSetup paperSize="9" scale="88" fitToHeight="4" orientation="landscape" r:id="rId3"/>
  <headerFooter>
    <oddFooter>&amp;C&amp;A -&amp;P</oddFooter>
  </headerFooter>
  <rowBreaks count="4" manualBreakCount="4">
    <brk id="22" max="7" man="1"/>
    <brk id="46" max="4" man="1"/>
    <brk id="70" max="4" man="1"/>
    <brk id="90"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0070C0"/>
    <pageSetUpPr fitToPage="1"/>
  </sheetPr>
  <dimension ref="A1:J160"/>
  <sheetViews>
    <sheetView zoomScaleNormal="100" zoomScalePageLayoutView="80" workbookViewId="0">
      <selection activeCell="C6" sqref="C6"/>
    </sheetView>
  </sheetViews>
  <sheetFormatPr defaultColWidth="11" defaultRowHeight="15.6"/>
  <cols>
    <col min="1" max="1" width="4.69921875" style="6" customWidth="1"/>
    <col min="2" max="2" width="82.19921875" style="8" customWidth="1"/>
    <col min="3" max="3" width="5.19921875" style="30" bestFit="1" customWidth="1"/>
    <col min="4" max="4" width="3.69921875" customWidth="1"/>
    <col min="5" max="5" width="3.69921875" hidden="1" customWidth="1"/>
    <col min="6" max="6" width="5.19921875" style="30" hidden="1" customWidth="1"/>
    <col min="7" max="7" width="5.19921875" customWidth="1"/>
    <col min="8" max="8" width="37.69921875" style="267" customWidth="1"/>
    <col min="9" max="9" width="9.69921875" style="1" customWidth="1"/>
    <col min="10" max="10" width="7.19921875" customWidth="1"/>
  </cols>
  <sheetData>
    <row r="1" spans="1:9">
      <c r="A1" s="10"/>
      <c r="B1" s="43" t="str">
        <f>Language!A1431</f>
        <v>12- AST EXPERT RULES</v>
      </c>
      <c r="C1" s="52" t="str">
        <f>IF(COUNT(G3:G207)=0,"???",AVERAGE(G3:G207))</f>
        <v>???</v>
      </c>
      <c r="F1" s="28"/>
      <c r="H1" s="264" t="str">
        <f>'Facility 1'!H1</f>
        <v>Comments</v>
      </c>
    </row>
    <row r="2" spans="1:9" ht="16.2" thickBot="1">
      <c r="A2" s="10"/>
      <c r="B2" s="210" t="str">
        <f>Language!A1432</f>
        <v>Please note: all questions refer only to clinical patient isolates, NOT to research or environmental isolates</v>
      </c>
      <c r="C2" s="19"/>
      <c r="F2" s="28"/>
      <c r="H2" s="265"/>
    </row>
    <row r="3" spans="1:9" ht="16.2" thickBot="1">
      <c r="A3" s="166"/>
      <c r="B3" s="34" t="str">
        <f>Language!A1433</f>
        <v>EXPERT RULES FOR SALMONELLA</v>
      </c>
      <c r="C3" s="44" t="str">
        <f>IF(COUNTBLANK(C6:C11)=6,"???",IF(COUNT(G6:G11)=0,"NA",AVERAGE(G6:G11)))</f>
        <v>???</v>
      </c>
      <c r="E3" s="30"/>
      <c r="F3" s="28"/>
      <c r="G3" s="30"/>
      <c r="H3" s="432"/>
    </row>
    <row r="4" spans="1:9" ht="27.6" customHeight="1">
      <c r="A4" s="10"/>
      <c r="B4" s="8" t="str">
        <f>Language!A1434</f>
        <v xml:space="preserve">Review a patient AST report for a Salmonella or Shigella isolate. Were any of the following drug classes tested or reported? </v>
      </c>
      <c r="C4" s="2"/>
      <c r="D4" s="2"/>
      <c r="F4" s="2"/>
      <c r="H4" s="270"/>
    </row>
    <row r="5" spans="1:9" ht="41.4" customHeight="1">
      <c r="A5" s="10"/>
      <c r="B5" s="465" t="str">
        <f>Language!A1435</f>
        <v>These drugs may appear active in vitro but are not effective clinically against Salmonella or Shigella and should not be reported as susceptible, regardless of the AST result.</v>
      </c>
      <c r="C5" s="71"/>
      <c r="F5" s="29"/>
      <c r="G5" s="18"/>
      <c r="H5"/>
      <c r="I5" s="107"/>
    </row>
    <row r="6" spans="1:9">
      <c r="A6" s="10" t="s">
        <v>1419</v>
      </c>
      <c r="B6" s="37" t="str">
        <f>Language!A1436</f>
        <v>1st generation cephalosporins (cefazolin, cephalothin, cephapirin, cephadrine)</v>
      </c>
      <c r="C6" s="27"/>
      <c r="F6" s="29">
        <f t="shared" ref="F6:F11" si="0">C6</f>
        <v>0</v>
      </c>
      <c r="G6" s="18" t="str">
        <f>IF(F6="No",1,IF(F6="Yes",0,"'"))</f>
        <v>'</v>
      </c>
      <c r="H6" s="440"/>
      <c r="I6" s="107" t="str">
        <f>IF(F6="Yes","Red Flag","'")</f>
        <v>'</v>
      </c>
    </row>
    <row r="7" spans="1:9">
      <c r="A7" s="10" t="s">
        <v>1420</v>
      </c>
      <c r="B7" s="37" t="str">
        <f>Language!A1437</f>
        <v>2nd generation cephalosporins (cefuroxime, cefonicid, cefamandole)</v>
      </c>
      <c r="C7" s="27"/>
      <c r="F7" s="29">
        <f t="shared" si="0"/>
        <v>0</v>
      </c>
      <c r="G7" s="18" t="str">
        <f t="shared" ref="G7:G10" si="1">IF(F7="No",1,IF(F7="Yes",0,"'"))</f>
        <v>'</v>
      </c>
      <c r="H7" s="440"/>
      <c r="I7" s="107" t="str">
        <f t="shared" ref="I7:I10" si="2">IF(F7="Yes","Red Flag","'")</f>
        <v>'</v>
      </c>
    </row>
    <row r="8" spans="1:9">
      <c r="A8" s="10" t="s">
        <v>1421</v>
      </c>
      <c r="B8" s="37" t="str">
        <f>Language!A1438</f>
        <v>Cephamycins (cefoxitin, cefotetan)</v>
      </c>
      <c r="C8" s="27"/>
      <c r="F8" s="29">
        <f t="shared" si="0"/>
        <v>0</v>
      </c>
      <c r="G8" s="18" t="str">
        <f t="shared" si="1"/>
        <v>'</v>
      </c>
      <c r="H8" s="440"/>
      <c r="I8" s="107" t="str">
        <f t="shared" si="2"/>
        <v>'</v>
      </c>
    </row>
    <row r="9" spans="1:9">
      <c r="A9" s="10" t="s">
        <v>1422</v>
      </c>
      <c r="B9" s="37" t="str">
        <f>Language!A1439</f>
        <v>Aminoglycosides (gentamicin, tobramycin, amikacin)</v>
      </c>
      <c r="C9" s="27"/>
      <c r="F9" s="29">
        <f t="shared" si="0"/>
        <v>0</v>
      </c>
      <c r="G9" s="18" t="str">
        <f t="shared" si="1"/>
        <v>'</v>
      </c>
      <c r="H9" s="440"/>
      <c r="I9" s="107" t="str">
        <f t="shared" si="2"/>
        <v>'</v>
      </c>
    </row>
    <row r="10" spans="1:9" ht="27.6" customHeight="1">
      <c r="A10" s="10" t="s">
        <v>1423</v>
      </c>
      <c r="B10" s="8" t="str">
        <f>Language!A1440</f>
        <v>Does the lab use Nalidixic Acid to screen Salmonella isolates for ciprofloxacin resistance?</v>
      </c>
      <c r="C10" s="27"/>
      <c r="F10" s="29">
        <f t="shared" si="0"/>
        <v>0</v>
      </c>
      <c r="G10" s="18" t="str">
        <f t="shared" si="1"/>
        <v>'</v>
      </c>
      <c r="H10" s="440"/>
      <c r="I10" s="107" t="str">
        <f t="shared" si="2"/>
        <v>'</v>
      </c>
    </row>
    <row r="11" spans="1:9" ht="27.6" customHeight="1">
      <c r="A11" s="10" t="s">
        <v>1424</v>
      </c>
      <c r="B11" s="8" t="str">
        <f>Language!A1441</f>
        <v xml:space="preserve">Compare the lab’s AST bench aids and SOPs to the Salmonella table in the Assessor’s Guide. Does the lab use the correct fluoroquinolone (FQ) breakpoints for Salmonella spp? </v>
      </c>
      <c r="C11" s="27"/>
      <c r="F11" s="29">
        <f t="shared" si="0"/>
        <v>0</v>
      </c>
      <c r="G11" s="18" t="str">
        <f>IF(F11="Yes",1,IF(F11="No",0,"'"))</f>
        <v>'</v>
      </c>
      <c r="H11" s="440"/>
      <c r="I11" s="15" t="str">
        <f>IF(F11="No","Red Flag","'")</f>
        <v>'</v>
      </c>
    </row>
    <row r="12" spans="1:9" ht="16.2" thickBot="1">
      <c r="A12" s="10"/>
      <c r="B12" s="465" t="str">
        <f>Language!A1442</f>
        <v>(Enterobacteriaceae FQ breakpoints should not be used for Salmonella spp).</v>
      </c>
      <c r="C12" s="71"/>
      <c r="F12" s="29"/>
      <c r="G12" s="18"/>
      <c r="H12" s="269"/>
      <c r="I12" s="15"/>
    </row>
    <row r="13" spans="1:9" ht="16.2" thickBot="1">
      <c r="A13" s="166"/>
      <c r="B13" s="34" t="str">
        <f>Language!A1443</f>
        <v>GRAM NEGATIVES &amp; BETA-LACTAM BREAKPOINTS</v>
      </c>
      <c r="C13" s="44" t="str">
        <f>IF(COUNTBLANK(C21:C39)=19,"???",IF(COUNT(G21:G39)=0,"NA",AVERAGE(G21:G39)))</f>
        <v>???</v>
      </c>
      <c r="D13" s="22"/>
      <c r="E13" s="22"/>
      <c r="F13" s="29"/>
      <c r="G13" s="18"/>
      <c r="H13" s="432"/>
    </row>
    <row r="14" spans="1:9">
      <c r="A14" s="10"/>
      <c r="B14" s="24" t="str">
        <f>Language!A1444</f>
        <v>IMPORTANT! Please read the information below before proceeding:</v>
      </c>
      <c r="C14" s="28"/>
      <c r="D14" s="22"/>
      <c r="E14" s="22"/>
      <c r="F14" s="103"/>
      <c r="G14" s="22"/>
    </row>
    <row r="15" spans="1:9">
      <c r="A15" s="10"/>
      <c r="B15" s="653" t="str">
        <f>Language!A1445</f>
        <v xml:space="preserve">Beginning in 2009, CLSI and EUCAST lowered the breakpoints for several beta-lactam antibiotics and Aztreonam in order to enhance the detection of resistance. </v>
      </c>
      <c r="C15" s="654"/>
      <c r="D15" s="654"/>
      <c r="E15" s="654"/>
      <c r="F15" s="654"/>
      <c r="G15" s="654"/>
      <c r="H15" s="654"/>
    </row>
    <row r="16" spans="1:9" ht="27.6" customHeight="1">
      <c r="A16" s="10"/>
      <c r="B16" s="655" t="str">
        <f>Language!A1446</f>
        <v>Even if a laboratory has current CLSI or EUCAST manuals, they may have failed to update their bench aids and SOPs to reflect current breakpoints.</v>
      </c>
      <c r="C16" s="656"/>
      <c r="D16" s="656"/>
      <c r="E16" s="656"/>
      <c r="F16" s="656"/>
      <c r="G16" s="656"/>
      <c r="H16" s="656"/>
    </row>
    <row r="17" spans="1:9">
      <c r="A17" s="10"/>
      <c r="B17" s="655" t="str">
        <f>Language!A1447</f>
        <v>Since the bench aids and SOPs are used by technologists for AST interpretation, it is crucial that these are up to date as well.</v>
      </c>
      <c r="C17" s="656"/>
      <c r="D17" s="656"/>
      <c r="E17" s="656"/>
      <c r="F17" s="656"/>
      <c r="G17" s="656"/>
      <c r="H17" s="656"/>
    </row>
    <row r="18" spans="1:9" ht="27.6" customHeight="1">
      <c r="A18" s="119"/>
      <c r="B18" s="653" t="str">
        <f>Language!A1448</f>
        <v xml:space="preserve">The Assessor’s Guide shows the current breakpoints for these antibiotics. Compare this table to the bench aids and SOPs the technologists use for zone size and MIC interpretation. </v>
      </c>
      <c r="C18" s="654"/>
      <c r="D18" s="654"/>
      <c r="E18" s="654"/>
      <c r="F18" s="654"/>
      <c r="G18" s="654"/>
      <c r="H18" s="654"/>
      <c r="I18"/>
    </row>
    <row r="19" spans="1:9" ht="27.6" customHeight="1">
      <c r="A19" s="119"/>
      <c r="B19" s="174" t="str">
        <f>Language!A1449</f>
        <v>Do the bench aids and SOPs have the current breakpoints for the following combinations?</v>
      </c>
      <c r="C19" s="136"/>
      <c r="D19" s="2"/>
      <c r="F19"/>
      <c r="H19" s="270"/>
      <c r="I19"/>
    </row>
    <row r="20" spans="1:9">
      <c r="A20" s="10"/>
      <c r="B20" s="465" t="str">
        <f>Language!A1450</f>
        <v>(Select NA if the antibiotic is not in use)</v>
      </c>
      <c r="C20" s="2"/>
      <c r="D20" s="2"/>
      <c r="H20" s="272"/>
    </row>
    <row r="21" spans="1:9">
      <c r="A21" s="10" t="s">
        <v>1425</v>
      </c>
      <c r="B21" s="37" t="str">
        <f>Language!A1451</f>
        <v>Enterobacteriaceae and Aztreonam</v>
      </c>
      <c r="C21" s="27"/>
      <c r="F21" s="29">
        <f t="shared" ref="F21:F39" si="3">C21</f>
        <v>0</v>
      </c>
      <c r="G21" s="18" t="str">
        <f>IF(F21="Yes",1,IF(F21="No",0,"'"))</f>
        <v>'</v>
      </c>
      <c r="H21" s="440"/>
    </row>
    <row r="22" spans="1:9">
      <c r="A22" s="10" t="s">
        <v>1426</v>
      </c>
      <c r="B22" s="37" t="str">
        <f>Language!A1452</f>
        <v>Enterobacteriaceae and Cefotaxime</v>
      </c>
      <c r="C22" s="27"/>
      <c r="F22" s="29">
        <f t="shared" si="3"/>
        <v>0</v>
      </c>
      <c r="G22" s="18" t="str">
        <f t="shared" ref="G22:G39" si="4">IF(F22="Yes",1,IF(F22="No",0,"'"))</f>
        <v>'</v>
      </c>
      <c r="H22" s="440"/>
    </row>
    <row r="23" spans="1:9">
      <c r="A23" s="10" t="s">
        <v>1427</v>
      </c>
      <c r="B23" s="37" t="str">
        <f>Language!A1453</f>
        <v>Enterobacteriaceae and Ceftriaxone</v>
      </c>
      <c r="C23" s="27"/>
      <c r="F23" s="29">
        <f t="shared" si="3"/>
        <v>0</v>
      </c>
      <c r="G23" s="18" t="str">
        <f t="shared" si="4"/>
        <v>'</v>
      </c>
      <c r="H23" s="440"/>
    </row>
    <row r="24" spans="1:9">
      <c r="A24" s="10" t="s">
        <v>1428</v>
      </c>
      <c r="B24" s="37" t="str">
        <f>Language!A1454</f>
        <v>Enterobacteriaceae and Ceftazidime</v>
      </c>
      <c r="C24" s="27"/>
      <c r="F24" s="29">
        <f t="shared" si="3"/>
        <v>0</v>
      </c>
      <c r="G24" s="18" t="str">
        <f t="shared" si="4"/>
        <v>'</v>
      </c>
      <c r="H24" s="440"/>
    </row>
    <row r="25" spans="1:9">
      <c r="A25" s="10" t="s">
        <v>1429</v>
      </c>
      <c r="B25" s="37" t="str">
        <f>Language!A1455</f>
        <v>Enterobacteriaceae and Cefepime</v>
      </c>
      <c r="C25" s="27"/>
      <c r="F25" s="29">
        <f t="shared" si="3"/>
        <v>0</v>
      </c>
      <c r="G25" s="18" t="str">
        <f t="shared" si="4"/>
        <v>'</v>
      </c>
      <c r="H25" s="440"/>
    </row>
    <row r="26" spans="1:9">
      <c r="A26" s="10" t="s">
        <v>1430</v>
      </c>
      <c r="B26" s="37" t="str">
        <f>Language!A1456</f>
        <v>Enterobacteriaceae and Imipenem</v>
      </c>
      <c r="C26" s="27"/>
      <c r="F26" s="29">
        <f t="shared" si="3"/>
        <v>0</v>
      </c>
      <c r="G26" s="18" t="str">
        <f t="shared" si="4"/>
        <v>'</v>
      </c>
      <c r="H26" s="440"/>
    </row>
    <row r="27" spans="1:9">
      <c r="A27" s="10" t="s">
        <v>1431</v>
      </c>
      <c r="B27" s="37" t="str">
        <f>Language!A1457</f>
        <v>Enterobacteriaceae and Meropenem</v>
      </c>
      <c r="C27" s="27"/>
      <c r="F27" s="29">
        <f t="shared" si="3"/>
        <v>0</v>
      </c>
      <c r="G27" s="18" t="str">
        <f t="shared" si="4"/>
        <v>'</v>
      </c>
      <c r="H27" s="440"/>
    </row>
    <row r="28" spans="1:9">
      <c r="A28" s="10" t="s">
        <v>1432</v>
      </c>
      <c r="B28" s="37" t="str">
        <f>Language!A1458</f>
        <v>Enterobacteriaceae and Ertapenem</v>
      </c>
      <c r="C28" s="27"/>
      <c r="F28" s="29">
        <f t="shared" si="3"/>
        <v>0</v>
      </c>
      <c r="G28" s="18" t="str">
        <f t="shared" si="4"/>
        <v>'</v>
      </c>
      <c r="H28" s="440"/>
    </row>
    <row r="29" spans="1:9">
      <c r="A29" s="10" t="s">
        <v>1433</v>
      </c>
      <c r="B29" s="37" t="str">
        <f>Language!A1459</f>
        <v>Enterobacteriaceae and Doripenem</v>
      </c>
      <c r="C29" s="27"/>
      <c r="F29" s="29">
        <f t="shared" si="3"/>
        <v>0</v>
      </c>
      <c r="G29" s="18" t="str">
        <f t="shared" si="4"/>
        <v>'</v>
      </c>
      <c r="H29" s="440"/>
    </row>
    <row r="30" spans="1:9">
      <c r="A30" s="10" t="s">
        <v>1434</v>
      </c>
      <c r="B30" s="37" t="str">
        <f>Language!A1460</f>
        <v>Acinetobacter and Imipenem</v>
      </c>
      <c r="C30" s="27"/>
      <c r="F30" s="29">
        <f t="shared" si="3"/>
        <v>0</v>
      </c>
      <c r="G30" s="18" t="str">
        <f t="shared" si="4"/>
        <v>'</v>
      </c>
      <c r="H30" s="440"/>
    </row>
    <row r="31" spans="1:9">
      <c r="A31" s="10" t="s">
        <v>1435</v>
      </c>
      <c r="B31" s="37" t="str">
        <f>Language!A1461</f>
        <v>Acinetobacter and Meropenem</v>
      </c>
      <c r="C31" s="27"/>
      <c r="F31" s="29">
        <f t="shared" si="3"/>
        <v>0</v>
      </c>
      <c r="G31" s="18" t="str">
        <f t="shared" si="4"/>
        <v>'</v>
      </c>
      <c r="H31" s="440"/>
    </row>
    <row r="32" spans="1:9">
      <c r="A32" s="10" t="s">
        <v>1436</v>
      </c>
      <c r="B32" s="37" t="str">
        <f>Language!A1462</f>
        <v>Acinetobacter and Doripenem</v>
      </c>
      <c r="C32" s="27"/>
      <c r="F32" s="29">
        <f t="shared" si="3"/>
        <v>0</v>
      </c>
      <c r="G32" s="18" t="str">
        <f t="shared" si="4"/>
        <v>'</v>
      </c>
      <c r="H32" s="440"/>
    </row>
    <row r="33" spans="1:10">
      <c r="A33" s="10" t="s">
        <v>1437</v>
      </c>
      <c r="B33" s="37" t="str">
        <f>Language!A1463</f>
        <v>Pseudomonas and Cefepime</v>
      </c>
      <c r="C33" s="27"/>
      <c r="F33" s="29">
        <f t="shared" si="3"/>
        <v>0</v>
      </c>
      <c r="G33" s="18" t="str">
        <f t="shared" si="4"/>
        <v>'</v>
      </c>
      <c r="H33" s="440"/>
    </row>
    <row r="34" spans="1:10">
      <c r="A34" s="10" t="s">
        <v>1438</v>
      </c>
      <c r="B34" s="37" t="str">
        <f>Language!A1464</f>
        <v>Pseudomonas and Piperacillin</v>
      </c>
      <c r="C34" s="27"/>
      <c r="F34" s="29">
        <f t="shared" si="3"/>
        <v>0</v>
      </c>
      <c r="G34" s="18" t="str">
        <f t="shared" si="4"/>
        <v>'</v>
      </c>
      <c r="H34" s="440"/>
    </row>
    <row r="35" spans="1:10">
      <c r="A35" s="10" t="s">
        <v>1439</v>
      </c>
      <c r="B35" s="37" t="str">
        <f>Language!A1465</f>
        <v>Pseudomonas and Piperacillin-Tazobactam</v>
      </c>
      <c r="C35" s="27"/>
      <c r="F35" s="29">
        <f t="shared" si="3"/>
        <v>0</v>
      </c>
      <c r="G35" s="18" t="str">
        <f t="shared" si="4"/>
        <v>'</v>
      </c>
      <c r="H35" s="440"/>
    </row>
    <row r="36" spans="1:10">
      <c r="A36" s="10" t="s">
        <v>1440</v>
      </c>
      <c r="B36" s="37" t="str">
        <f>Language!A1466</f>
        <v>Pseudomonas and Ticarcillin-Clavulanate</v>
      </c>
      <c r="C36" s="27"/>
      <c r="F36" s="29">
        <f t="shared" si="3"/>
        <v>0</v>
      </c>
      <c r="G36" s="18" t="str">
        <f t="shared" si="4"/>
        <v>'</v>
      </c>
      <c r="H36" s="440"/>
    </row>
    <row r="37" spans="1:10">
      <c r="A37" s="10" t="s">
        <v>1441</v>
      </c>
      <c r="B37" s="37" t="str">
        <f>Language!A1467</f>
        <v>Pseudomonas and Imipenem</v>
      </c>
      <c r="C37" s="27"/>
      <c r="F37" s="29">
        <f t="shared" si="3"/>
        <v>0</v>
      </c>
      <c r="G37" s="18" t="str">
        <f t="shared" si="4"/>
        <v>'</v>
      </c>
      <c r="H37" s="440"/>
    </row>
    <row r="38" spans="1:10">
      <c r="A38" s="10" t="s">
        <v>1442</v>
      </c>
      <c r="B38" s="37" t="str">
        <f>Language!A1468</f>
        <v>Pseudomonas and Meropenem</v>
      </c>
      <c r="C38" s="27"/>
      <c r="F38" s="29">
        <f t="shared" si="3"/>
        <v>0</v>
      </c>
      <c r="G38" s="18" t="str">
        <f t="shared" si="4"/>
        <v>'</v>
      </c>
      <c r="H38" s="440"/>
    </row>
    <row r="39" spans="1:10">
      <c r="A39" s="10" t="s">
        <v>1443</v>
      </c>
      <c r="B39" s="37" t="str">
        <f>Language!A1469</f>
        <v>Pseudomonas and Doripenem</v>
      </c>
      <c r="C39" s="27"/>
      <c r="F39" s="29">
        <f t="shared" si="3"/>
        <v>0</v>
      </c>
      <c r="G39" s="18" t="str">
        <f t="shared" si="4"/>
        <v>'</v>
      </c>
      <c r="H39" s="440"/>
    </row>
    <row r="40" spans="1:10" ht="16.2" thickBot="1">
      <c r="A40" s="16"/>
      <c r="B40" s="471"/>
      <c r="C40" s="99"/>
      <c r="D40" s="412"/>
      <c r="E40" s="155"/>
      <c r="F40" s="201"/>
      <c r="G40" s="155"/>
      <c r="H40" s="220"/>
      <c r="I40"/>
      <c r="J40" s="155"/>
    </row>
    <row r="41" spans="1:10" ht="16.2" thickBot="1">
      <c r="A41" s="166"/>
      <c r="B41" s="34" t="str">
        <f>Language!A1470</f>
        <v>PHENOTYPIC ESBL TESTING</v>
      </c>
      <c r="C41" s="44" t="str">
        <f>IF(COUNTBLANK(C43:C53)=11,"???",IF(COUNT(G43:G53)=0,"'",AVERAGE(G43:G53)))</f>
        <v>???</v>
      </c>
      <c r="E41" s="30"/>
      <c r="G41" s="30"/>
      <c r="H41" s="432"/>
    </row>
    <row r="42" spans="1:10" ht="41.4" customHeight="1">
      <c r="A42" s="10"/>
      <c r="B42" s="24" t="str">
        <f>Language!A1471</f>
        <v>NOTE: Questions 12.26 and 12.27 only apply to labs that do NOT use current cephalosporin and aztreonam breakpoints. If this lab uses current breakpoints, select NA for both questions and skip to question 12.28</v>
      </c>
      <c r="C42"/>
      <c r="F42"/>
      <c r="H42" s="270"/>
    </row>
    <row r="43" spans="1:10" ht="55.2" customHeight="1">
      <c r="A43" s="10" t="s">
        <v>1444</v>
      </c>
      <c r="B43" s="8" t="str">
        <f>Language!A1472</f>
        <v>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v>
      </c>
      <c r="C43" s="27"/>
      <c r="F43" s="29">
        <f>C43</f>
        <v>0</v>
      </c>
      <c r="G43" s="18" t="str">
        <f>IF(F43="Yes",1,IF(F43="No",0,"'"))</f>
        <v>'</v>
      </c>
      <c r="H43" s="460"/>
      <c r="I43" s="18" t="str">
        <f>IF(C43="No","Red Flag","'")</f>
        <v>'</v>
      </c>
    </row>
    <row r="44" spans="1:10" ht="55.2" customHeight="1">
      <c r="A44" s="10" t="s">
        <v>1445</v>
      </c>
      <c r="B44" s="8" t="str">
        <f>Language!A1473</f>
        <v>Labs that do NOT use current aztreonam and cephalosporin breakpoints should attach a warning comment to the report for ESBL-positive organisms: “ESBL-producers should be considered clinically resistant to all penicillins, cephalosporins, and aztreonam.” Is this practice in place?</v>
      </c>
      <c r="C44" s="27"/>
      <c r="F44" s="29">
        <f>C44</f>
        <v>0</v>
      </c>
      <c r="G44" s="18" t="str">
        <f t="shared" ref="G44:G45" si="5">IF(F44="Yes",1,IF(F44="No",0,"'"))</f>
        <v>'</v>
      </c>
      <c r="H44" s="461"/>
      <c r="I44" s="18" t="str">
        <f>IF(C44="No","Red Flag","'")</f>
        <v>'</v>
      </c>
    </row>
    <row r="45" spans="1:10" ht="69" customHeight="1">
      <c r="A45" s="10" t="s">
        <v>1446</v>
      </c>
      <c r="B45" s="8" t="str">
        <f>Language!A1474</f>
        <v>For labs that DO use current cephalosporin and aztreonam breakpoints, CLSI and EUCAST no longer recommend routine testing for ESBL phenotype. Furthermore, if ESBL testing is performed and the test is positive, interpretations for beta-lactam agents do NOT need to be changed from susceptible to resistant. Has the lab discontinued editing AST results based on the ESBL result?</v>
      </c>
      <c r="C45" s="27"/>
      <c r="F45" s="29">
        <f>C45</f>
        <v>0</v>
      </c>
      <c r="G45" s="18" t="str">
        <f t="shared" si="5"/>
        <v>'</v>
      </c>
      <c r="H45" s="462"/>
      <c r="J45" s="212"/>
    </row>
    <row r="46" spans="1:10" ht="27.6" customHeight="1">
      <c r="A46" s="10"/>
      <c r="B46" s="465" t="str">
        <f>Language!A1475</f>
        <v>Note: Select NA for the question above if the lab does NOT use current cephalosporin and aztreonam breakpoints</v>
      </c>
      <c r="C46"/>
      <c r="F46" s="29"/>
      <c r="G46" s="18"/>
      <c r="H46" s="270"/>
      <c r="I46"/>
    </row>
    <row r="47" spans="1:10" ht="27.6" customHeight="1">
      <c r="A47" s="10" t="s">
        <v>1447</v>
      </c>
      <c r="B47" s="8" t="str">
        <f>Language!A1476</f>
        <v xml:space="preserve">Does the lab perform any phenotypic tests for ESBL production? Including disks, gradient strips, or a screening well in an automated system. </v>
      </c>
      <c r="C47" s="179"/>
      <c r="F47" s="29">
        <f>C47</f>
        <v>0</v>
      </c>
      <c r="G47" s="18" t="str">
        <f>IF(F47="Yes",1,"'")</f>
        <v>'</v>
      </c>
      <c r="H47" s="441"/>
      <c r="I47"/>
    </row>
    <row r="48" spans="1:10">
      <c r="A48" s="10"/>
      <c r="B48" s="465" t="str">
        <f>Language!A1477</f>
        <v>If no, answer NA until Carbapenemase Testing Section</v>
      </c>
      <c r="C48"/>
      <c r="F48" s="29"/>
      <c r="G48" s="18"/>
      <c r="H48" s="270"/>
      <c r="I48"/>
    </row>
    <row r="49" spans="1:10" ht="27.6" customHeight="1">
      <c r="A49" s="10" t="s">
        <v>1448</v>
      </c>
      <c r="B49" s="8" t="str">
        <f>Language!A1478</f>
        <v>Does the phenotypic ESBL method include testing both cefotaxime (or ceftriaxone) AND ceftazidime alone and in combination with clavulanic acid?</v>
      </c>
      <c r="C49" s="27"/>
      <c r="F49" s="29">
        <f>C49</f>
        <v>0</v>
      </c>
      <c r="G49" s="18" t="str">
        <f>IF(F49="Yes",1,IF(F49="No",0,"'"))</f>
        <v>'</v>
      </c>
      <c r="H49" s="440"/>
      <c r="I49"/>
    </row>
    <row r="50" spans="1:10">
      <c r="A50" s="10" t="s">
        <v>1449</v>
      </c>
      <c r="B50" s="8" t="str">
        <f>Language!A1479</f>
        <v>Does the lab perform any genotypic tests for ESBL production? (e.g., PCR)</v>
      </c>
      <c r="C50" s="27"/>
      <c r="F50" s="29">
        <f>C50</f>
        <v>0</v>
      </c>
      <c r="G50" s="18" t="str">
        <f>IF(F50="Yes",1,"'")</f>
        <v>'</v>
      </c>
      <c r="H50" s="441"/>
      <c r="J50" s="212"/>
    </row>
    <row r="51" spans="1:10" ht="27.6" customHeight="1">
      <c r="A51" s="10" t="s">
        <v>1450</v>
      </c>
      <c r="B51" s="8" t="str">
        <f>Language!A1480</f>
        <v>Do records indicate that quality control for ESBL testing is done either on a weekly basis or each time the test is performed?</v>
      </c>
      <c r="C51" s="27"/>
      <c r="F51" s="29">
        <f>C51</f>
        <v>0</v>
      </c>
      <c r="G51" s="18" t="str">
        <f>IF(F51="Yes",1,IF(F51="No",0,"'"))</f>
        <v>'</v>
      </c>
      <c r="H51" s="440"/>
      <c r="J51" s="212"/>
    </row>
    <row r="52" spans="1:10" ht="41.4" customHeight="1">
      <c r="A52" s="10" t="s">
        <v>1451</v>
      </c>
      <c r="B52" s="8" t="str">
        <f>Language!A1481</f>
        <v>Do records indicate that lab uses both positive and negative control organisms to QC the ESBL test in use? (A commonly used ESBL-positive strain is Klebsiella pneumoniae ATCC 700603)</v>
      </c>
      <c r="C52" s="27"/>
      <c r="F52" s="29">
        <f>C52</f>
        <v>0</v>
      </c>
      <c r="G52" s="18" t="str">
        <f t="shared" ref="G52:G53" si="6">IF(F52="Yes",1,IF(F52="No",0,"'"))</f>
        <v>'</v>
      </c>
      <c r="H52" s="440"/>
      <c r="J52" s="212"/>
    </row>
    <row r="53" spans="1:10" ht="27.6" customHeight="1">
      <c r="A53" s="10" t="s">
        <v>1452</v>
      </c>
      <c r="B53" s="8" t="str">
        <f>Language!A1482</f>
        <v>When an ESBL-positive is confirmed, is infection control notified by the lab?</v>
      </c>
      <c r="C53" s="27"/>
      <c r="F53" s="29">
        <f>C53</f>
        <v>0</v>
      </c>
      <c r="G53" s="18" t="str">
        <f t="shared" si="6"/>
        <v>'</v>
      </c>
      <c r="H53" s="440"/>
    </row>
    <row r="54" spans="1:10" ht="16.2" thickBot="1">
      <c r="A54" s="10"/>
      <c r="C54"/>
      <c r="F54" s="29"/>
      <c r="G54" s="18"/>
      <c r="H54" s="270"/>
    </row>
    <row r="55" spans="1:10" ht="16.2" thickBot="1">
      <c r="A55" s="166"/>
      <c r="B55" s="34" t="str">
        <f>Language!A1483</f>
        <v>PHENOTYPIC CARBAPENEMASE TESTING</v>
      </c>
      <c r="C55" s="44" t="str">
        <f>IF(COUNTBLANK(C56:C72)=17,"???",IF(COUNT(G56:G72)=0,"NA",AVERAGE(G56:G72)))</f>
        <v>???</v>
      </c>
      <c r="E55" s="30"/>
      <c r="G55" s="30"/>
      <c r="H55" s="432"/>
    </row>
    <row r="56" spans="1:10" ht="69" customHeight="1">
      <c r="A56" s="10">
        <v>12.35</v>
      </c>
      <c r="B56" s="8" t="str">
        <f>Language!A1484</f>
        <v>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v>
      </c>
      <c r="C56" s="27"/>
      <c r="F56" s="29">
        <f>C56</f>
        <v>0</v>
      </c>
      <c r="G56" s="18" t="str">
        <f>IF(F56="Yes",1,IF(F56="No",0,"'"))</f>
        <v>'</v>
      </c>
      <c r="H56" s="440"/>
      <c r="I56" s="18" t="str">
        <f>IF(C56="No","Red Flag","'")</f>
        <v>'</v>
      </c>
    </row>
    <row r="57" spans="1:10">
      <c r="A57" s="10"/>
      <c r="B57" s="465" t="str">
        <f>Language!A1485</f>
        <v>Note: Select NA if the lab uses current breakpoints</v>
      </c>
      <c r="C57"/>
      <c r="H57" s="272"/>
    </row>
    <row r="58" spans="1:10" ht="55.2" customHeight="1">
      <c r="A58" s="10">
        <v>12.36</v>
      </c>
      <c r="B58" s="8" t="str">
        <f>Language!A1486</f>
        <v>For labs that DO use current carbapenem breakpoints, CLSI and EUCAST no longer recommend routine testing for carbapenemase production. Furthermore, if such testing is performed and the test is positive, interpretations for carbapenems do NOT need to be changed from susceptible to resistant. Has the lab discontinued editing AST results based on the carbapenemase result?</v>
      </c>
      <c r="C58" s="27"/>
      <c r="F58" s="29">
        <f>C58</f>
        <v>0</v>
      </c>
      <c r="G58" s="18" t="str">
        <f>IF(F58="Yes",1,IF(F58="No",0,"'"))</f>
        <v>'</v>
      </c>
      <c r="H58" s="440"/>
      <c r="J58" s="212"/>
    </row>
    <row r="59" spans="1:10">
      <c r="A59" s="10"/>
      <c r="B59" s="465" t="str">
        <f>Language!A1487</f>
        <v>Note: Select NA if the lab does NOT use current breakpoints</v>
      </c>
      <c r="C59"/>
      <c r="H59" s="272"/>
    </row>
    <row r="60" spans="1:10">
      <c r="A60" s="10"/>
      <c r="B60" s="8" t="str">
        <f>Language!A1488</f>
        <v>Does the lab perform any of the following phenotypic tests for carbapenemase production?</v>
      </c>
      <c r="C60"/>
      <c r="H60"/>
    </row>
    <row r="61" spans="1:10">
      <c r="A61" s="77" t="s">
        <v>1453</v>
      </c>
      <c r="B61" s="37" t="str">
        <f>Language!A1489</f>
        <v>Modified Hodge test</v>
      </c>
      <c r="C61" s="27"/>
      <c r="F61" s="29">
        <f t="shared" ref="F61:F69" si="7">C61</f>
        <v>0</v>
      </c>
      <c r="G61" s="18" t="str">
        <f>IF(F61="Yes",0,IF(F61="No",1,"'"))</f>
        <v>'</v>
      </c>
      <c r="H61" s="440"/>
      <c r="I61" s="18" t="str">
        <f>IF(C61="Yes","Red Flag","'")</f>
        <v>'</v>
      </c>
    </row>
    <row r="62" spans="1:10">
      <c r="A62" s="77" t="s">
        <v>1454</v>
      </c>
      <c r="B62" s="37" t="str">
        <f>Language!A1490</f>
        <v>Other disk method, e.g., combination disk test or double disk synergy</v>
      </c>
      <c r="C62" s="27"/>
      <c r="F62" s="29">
        <f t="shared" si="7"/>
        <v>0</v>
      </c>
      <c r="G62" s="18" t="str">
        <f>IF(F62="Yes",1,"'")</f>
        <v>'</v>
      </c>
      <c r="H62" s="441"/>
      <c r="J62" s="212"/>
    </row>
    <row r="63" spans="1:10">
      <c r="A63" s="77" t="s">
        <v>1455</v>
      </c>
      <c r="B63" s="37" t="str">
        <f>Language!A1491</f>
        <v>MIC Strip test, e.g., Etest KPC, MBL or Liofilchem MRP/MBO, ETP/EBO</v>
      </c>
      <c r="C63" s="27"/>
      <c r="F63" s="29">
        <f t="shared" si="7"/>
        <v>0</v>
      </c>
      <c r="G63" s="18" t="str">
        <f t="shared" ref="G63:G67" si="8">IF(F63="Yes",1,"'")</f>
        <v>'</v>
      </c>
      <c r="H63" s="441"/>
      <c r="J63" s="212"/>
    </row>
    <row r="64" spans="1:10">
      <c r="A64" s="77" t="s">
        <v>1456</v>
      </c>
      <c r="B64" s="37" t="str">
        <f>Language!A1492</f>
        <v>Biochemical (colorimetric) test, e.g., CarbaNP, BCT, or β CARBA</v>
      </c>
      <c r="C64" s="27"/>
      <c r="F64" s="29">
        <f t="shared" si="7"/>
        <v>0</v>
      </c>
      <c r="G64" s="18" t="str">
        <f t="shared" si="8"/>
        <v>'</v>
      </c>
      <c r="H64" s="440"/>
      <c r="J64" s="212"/>
    </row>
    <row r="65" spans="1:10">
      <c r="A65" s="77" t="s">
        <v>1457</v>
      </c>
      <c r="B65" s="37" t="str">
        <f>Language!A1493</f>
        <v>Chromogenic agar specific for carbapenemase producers</v>
      </c>
      <c r="C65" s="27"/>
      <c r="F65" s="29">
        <f t="shared" si="7"/>
        <v>0</v>
      </c>
      <c r="G65" s="18" t="str">
        <f t="shared" si="8"/>
        <v>'</v>
      </c>
      <c r="H65" s="440"/>
      <c r="J65" s="212"/>
    </row>
    <row r="66" spans="1:10">
      <c r="A66" s="77" t="s">
        <v>1458</v>
      </c>
      <c r="B66" s="37" t="str">
        <f>Language!A1494</f>
        <v>Modified carbapenem inactivation method (MCIM)</v>
      </c>
      <c r="C66" s="27"/>
      <c r="F66" s="29">
        <f t="shared" si="7"/>
        <v>0</v>
      </c>
      <c r="G66" s="18" t="str">
        <f t="shared" si="8"/>
        <v>'</v>
      </c>
      <c r="H66" s="440"/>
      <c r="J66" s="212"/>
    </row>
    <row r="67" spans="1:10" ht="27.6" customHeight="1">
      <c r="A67" s="77" t="s">
        <v>1459</v>
      </c>
      <c r="B67" s="8" t="str">
        <f>Language!A1495</f>
        <v>Does the lab perform any genotypic tests for carbapenemase production? (e.g., PCR, GeneXpert, etc.)</v>
      </c>
      <c r="C67" s="27"/>
      <c r="F67" s="29">
        <f t="shared" si="7"/>
        <v>0</v>
      </c>
      <c r="G67" s="18" t="str">
        <f t="shared" si="8"/>
        <v>'</v>
      </c>
      <c r="H67" s="441"/>
      <c r="J67" s="212"/>
    </row>
    <row r="68" spans="1:10" ht="27.6" customHeight="1">
      <c r="A68" s="77" t="s">
        <v>1460</v>
      </c>
      <c r="B68" s="8" t="str">
        <f>Language!A1496</f>
        <v xml:space="preserve">Do records indicate that quality control is done each time carbapenemase testing is performed? </v>
      </c>
      <c r="C68" s="27"/>
      <c r="F68" s="29">
        <f t="shared" si="7"/>
        <v>0</v>
      </c>
      <c r="G68" s="18" t="str">
        <f>IF(F68="Yes",1,IF(F68="No",0,"'"))</f>
        <v>'</v>
      </c>
      <c r="H68" s="440"/>
      <c r="J68" s="212"/>
    </row>
    <row r="69" spans="1:10" ht="27.6" customHeight="1">
      <c r="A69" s="77" t="s">
        <v>2347</v>
      </c>
      <c r="B69" s="8" t="str">
        <f>Language!A1497</f>
        <v xml:space="preserve">Do records indicate that lab uses both positive and negative control organisms to QC the carbapenemase test in use? </v>
      </c>
      <c r="C69" s="27"/>
      <c r="F69" s="29">
        <f t="shared" si="7"/>
        <v>0</v>
      </c>
      <c r="G69" s="18" t="str">
        <f>IF(F69="Yes",1,IF(F69="No",0,"'"))</f>
        <v>'</v>
      </c>
      <c r="H69" s="440"/>
      <c r="J69" s="212"/>
    </row>
    <row r="70" spans="1:10" ht="27.6" customHeight="1">
      <c r="A70" s="10"/>
      <c r="B70" s="465" t="str">
        <f>Language!A1498</f>
        <v>Commonly used carbapenemase positive strains include K. pneumoniae ATCC BAA-1705, K. pneumoniae CCUG 56233, and K. pneumoniae NCTC 13438</v>
      </c>
      <c r="C70"/>
      <c r="F70" s="29"/>
      <c r="G70" s="18"/>
      <c r="H70" s="270"/>
    </row>
    <row r="71" spans="1:10">
      <c r="A71" s="10">
        <v>12.46</v>
      </c>
      <c r="B71" s="8" t="str">
        <f>Language!A1499</f>
        <v>When a carbapenemase producer is detected, is it noted on the final report to the clinician?</v>
      </c>
      <c r="C71" s="27"/>
      <c r="F71" s="29">
        <f>C71</f>
        <v>0</v>
      </c>
      <c r="G71" s="18" t="str">
        <f>IF(F71="Yes",1,IF(F71="No",0,"'"))</f>
        <v>'</v>
      </c>
      <c r="H71" s="440"/>
    </row>
    <row r="72" spans="1:10" ht="27.6" customHeight="1">
      <c r="A72" s="10">
        <v>12.47</v>
      </c>
      <c r="B72" s="8" t="str">
        <f>Language!A1500</f>
        <v>When a carbapenemase producer is detected, is infection control notified by the lab?</v>
      </c>
      <c r="C72" s="27"/>
      <c r="F72" s="29">
        <f>C72</f>
        <v>0</v>
      </c>
      <c r="G72" s="18" t="str">
        <f>IF(F72="Yes",1,IF(F72="No",0,"'"))</f>
        <v>'</v>
      </c>
      <c r="H72" s="440"/>
    </row>
    <row r="73" spans="1:10" ht="16.2" thickBot="1">
      <c r="A73" s="10"/>
      <c r="B73" s="22"/>
      <c r="C73"/>
      <c r="F73"/>
      <c r="H73" s="270"/>
    </row>
    <row r="74" spans="1:10" ht="16.2" thickBot="1">
      <c r="A74" s="166"/>
      <c r="B74" s="34" t="str">
        <f>Language!A1501</f>
        <v>COLISTIN TESTING</v>
      </c>
      <c r="C74" s="44" t="str">
        <f>IF(C75="No","NA",IF(COUNTBLANK(C77:C96)=20,"???",IF(COUNT(G77:G96)=0,"NA",AVERAGE(G77:G96))))</f>
        <v>???</v>
      </c>
      <c r="E74" s="30"/>
      <c r="G74" s="30"/>
      <c r="H74" s="432"/>
    </row>
    <row r="75" spans="1:10">
      <c r="A75" s="10"/>
      <c r="B75" s="8" t="str">
        <f>Language!B1502</f>
        <v>Does the lab perform colistin AST? (Not scored. If No, skip to next section.)</v>
      </c>
      <c r="C75" s="27"/>
      <c r="F75" s="29">
        <f>C75</f>
        <v>0</v>
      </c>
      <c r="G75" s="18"/>
      <c r="H75" s="440"/>
    </row>
    <row r="76" spans="1:10">
      <c r="A76" s="10"/>
      <c r="B76" s="8" t="str">
        <f>Language!A1503</f>
        <v>Which methods does the lab use for colistin AST? (Check all that apply)</v>
      </c>
      <c r="C76"/>
      <c r="F76" s="29"/>
      <c r="G76" s="18"/>
      <c r="H76" s="269"/>
    </row>
    <row r="77" spans="1:10">
      <c r="A77" s="120" t="s">
        <v>1461</v>
      </c>
      <c r="B77" s="37" t="str">
        <f>Language!A1504</f>
        <v>Disk diffusion</v>
      </c>
      <c r="C77" s="27"/>
      <c r="F77" s="29">
        <f t="shared" ref="F77:F85" si="9">C77</f>
        <v>0</v>
      </c>
      <c r="G77" s="18" t="str">
        <f>IF(F77="Yes",0,IF(F77="No",1,"'"))</f>
        <v>'</v>
      </c>
      <c r="H77" s="440"/>
      <c r="I77" s="18" t="str">
        <f>IF(C77="Yes","Red Flag","'")</f>
        <v>'</v>
      </c>
    </row>
    <row r="78" spans="1:10">
      <c r="A78" s="120" t="s">
        <v>1462</v>
      </c>
      <c r="B78" s="37" t="str">
        <f>Language!A1505</f>
        <v>Gradient strip (e.g., Etest/Liofilchem)</v>
      </c>
      <c r="C78" s="27"/>
      <c r="F78" s="29">
        <f t="shared" si="9"/>
        <v>0</v>
      </c>
      <c r="G78" s="18" t="str">
        <f t="shared" ref="G78:G80" si="10">IF(F78="Yes",0,IF(F78="No",1,"'"))</f>
        <v>'</v>
      </c>
      <c r="H78" s="440"/>
      <c r="I78" s="18" t="str">
        <f>IF(C78="Yes","Red Flag","'")</f>
        <v>'</v>
      </c>
    </row>
    <row r="79" spans="1:10">
      <c r="A79" s="120" t="s">
        <v>1463</v>
      </c>
      <c r="B79" s="37" t="str">
        <f>Language!A1506</f>
        <v>Automated instrument (e.g., Vitek/Phoenix)</v>
      </c>
      <c r="C79" s="27"/>
      <c r="F79" s="29">
        <f t="shared" si="9"/>
        <v>0</v>
      </c>
      <c r="G79" s="18" t="str">
        <f t="shared" si="10"/>
        <v>'</v>
      </c>
      <c r="H79" s="440"/>
      <c r="I79" s="18" t="str">
        <f>IF(C79="Yes","Red Flag","'")</f>
        <v>'</v>
      </c>
    </row>
    <row r="80" spans="1:10">
      <c r="A80" s="120" t="s">
        <v>1464</v>
      </c>
      <c r="B80" s="37" t="str">
        <f>Language!A1507</f>
        <v>Broth microdilution (BMD) with Polysorbate 80</v>
      </c>
      <c r="C80" s="27"/>
      <c r="F80" s="29">
        <f t="shared" si="9"/>
        <v>0</v>
      </c>
      <c r="G80" s="18" t="str">
        <f t="shared" si="10"/>
        <v>'</v>
      </c>
      <c r="H80" s="440"/>
      <c r="I80" s="18" t="str">
        <f>IF(C80="Yes","Red Flag","'")</f>
        <v>'</v>
      </c>
    </row>
    <row r="81" spans="1:10">
      <c r="A81" s="120" t="s">
        <v>1465</v>
      </c>
      <c r="B81" s="37" t="str">
        <f>Language!A1508</f>
        <v>Broth microdilution (BMD) without Polysorbate 80</v>
      </c>
      <c r="C81" s="27"/>
      <c r="F81" s="29">
        <f t="shared" si="9"/>
        <v>0</v>
      </c>
      <c r="G81" s="18" t="str">
        <f>IF(F81="Yes",1,"'")</f>
        <v>'</v>
      </c>
      <c r="H81" s="440"/>
      <c r="I81" s="212"/>
      <c r="J81" s="212"/>
    </row>
    <row r="82" spans="1:10">
      <c r="A82" s="120" t="s">
        <v>1466</v>
      </c>
      <c r="B82" s="37" t="str">
        <f>Language!A1509</f>
        <v>Colistin Broth Disk Elution (CBDE) Test</v>
      </c>
      <c r="C82" s="27"/>
      <c r="F82" s="29">
        <f t="shared" si="9"/>
        <v>0</v>
      </c>
      <c r="G82" s="18" t="str">
        <f>IF(F82="Yes",1,"'")</f>
        <v>'</v>
      </c>
      <c r="H82" s="440"/>
      <c r="I82" s="212"/>
      <c r="J82" s="212"/>
    </row>
    <row r="83" spans="1:10">
      <c r="A83" s="120" t="s">
        <v>1467</v>
      </c>
      <c r="B83" s="37" t="str">
        <f>Language!A1510</f>
        <v>Agar dilution (Colistin Agar Test)</v>
      </c>
      <c r="C83" s="27"/>
      <c r="E83" s="39"/>
      <c r="F83" s="29">
        <f t="shared" si="9"/>
        <v>0</v>
      </c>
      <c r="G83" s="18" t="str">
        <f>IF(F83="Yes",1,"'")</f>
        <v>'</v>
      </c>
      <c r="H83" s="440"/>
      <c r="I83" s="212"/>
    </row>
    <row r="84" spans="1:10" ht="27.6" customHeight="1">
      <c r="A84" s="120" t="s">
        <v>1468</v>
      </c>
      <c r="B84" s="8" t="str">
        <f>Language!A1511</f>
        <v>Do records indicate that quality control for colistin AST is performed on either a weekly basis or each time the test is performed?</v>
      </c>
      <c r="C84" s="27"/>
      <c r="F84" s="29">
        <f t="shared" si="9"/>
        <v>0</v>
      </c>
      <c r="G84" s="18" t="str">
        <f>IF(F84="Yes",1,IF(F84="No",0,"'"))</f>
        <v>'</v>
      </c>
      <c r="H84" s="440"/>
      <c r="J84" s="212"/>
    </row>
    <row r="85" spans="1:10" ht="27.6" customHeight="1">
      <c r="A85" s="120" t="s">
        <v>1469</v>
      </c>
      <c r="B85" s="60" t="str">
        <f>Language!A1512</f>
        <v>Do records indicate that lab uses appropriate organisms to QC the colistin test in use? (P. aeruginosa 27853 AND E. coli NCTC 13846 or E. coli AR Bank #0349).</v>
      </c>
      <c r="C85" s="27"/>
      <c r="F85" s="29">
        <f t="shared" si="9"/>
        <v>0</v>
      </c>
      <c r="G85" s="18" t="str">
        <f t="shared" ref="G85:G96" si="11">IF(F85="Yes",1,IF(F85="No",0,"'"))</f>
        <v>'</v>
      </c>
      <c r="H85" s="440"/>
      <c r="J85" s="212"/>
    </row>
    <row r="86" spans="1:10">
      <c r="A86" s="10"/>
      <c r="B86" s="8" t="str">
        <f>Language!A1513</f>
        <v>When colistin resistance is detected, are any of the following notified?</v>
      </c>
      <c r="C86"/>
      <c r="F86" s="29"/>
      <c r="H86" s="269"/>
      <c r="I86"/>
    </row>
    <row r="87" spans="1:10">
      <c r="A87" s="77" t="s">
        <v>1470</v>
      </c>
      <c r="B87" s="37" t="str">
        <f>Language!A1514</f>
        <v>Lab supervisor</v>
      </c>
      <c r="C87" s="27"/>
      <c r="F87" s="29">
        <f>C87</f>
        <v>0</v>
      </c>
      <c r="G87" s="18" t="str">
        <f t="shared" si="11"/>
        <v>'</v>
      </c>
      <c r="H87" s="440"/>
      <c r="I87"/>
    </row>
    <row r="88" spans="1:10">
      <c r="A88" s="77" t="s">
        <v>1471</v>
      </c>
      <c r="B88" s="37" t="str">
        <f>Language!A1515</f>
        <v>Infectious Disease team</v>
      </c>
      <c r="C88" s="27"/>
      <c r="F88" s="29">
        <f>C88</f>
        <v>0</v>
      </c>
      <c r="G88" s="18" t="str">
        <f t="shared" si="11"/>
        <v>'</v>
      </c>
      <c r="H88" s="440"/>
      <c r="I88"/>
    </row>
    <row r="89" spans="1:10">
      <c r="A89" s="77" t="s">
        <v>1472</v>
      </c>
      <c r="B89" s="37" t="str">
        <f>Language!A1516</f>
        <v>Infection Control team</v>
      </c>
      <c r="C89" s="27"/>
      <c r="F89" s="29">
        <f>C89</f>
        <v>0</v>
      </c>
      <c r="G89" s="18" t="str">
        <f t="shared" si="11"/>
        <v>'</v>
      </c>
      <c r="H89" s="440"/>
      <c r="I89"/>
    </row>
    <row r="90" spans="1:10" ht="27.6" customHeight="1">
      <c r="A90" s="77" t="s">
        <v>1473</v>
      </c>
      <c r="B90" s="60" t="str">
        <f>Language!A1517</f>
        <v>When colistin resistance is detected, is the isolate sent to a reference lab for molecular characterization (e.g., testing for mcr genes)?</v>
      </c>
      <c r="C90" s="27"/>
      <c r="F90" s="29">
        <f>C90</f>
        <v>0</v>
      </c>
      <c r="G90" s="18" t="str">
        <f t="shared" si="11"/>
        <v>'</v>
      </c>
      <c r="H90" s="440"/>
      <c r="J90" s="212"/>
    </row>
    <row r="91" spans="1:10" ht="27.6" customHeight="1">
      <c r="A91" s="77" t="s">
        <v>1474</v>
      </c>
      <c r="B91" s="8" t="str">
        <f>Language!A1518</f>
        <v xml:space="preserve">If the lab uses broth microdilution for colistin AST, is colistin sulfate used, not colistin methane sulfonate (sulfomethate)? </v>
      </c>
      <c r="C91" s="27"/>
      <c r="F91" s="29">
        <f>C91</f>
        <v>0</v>
      </c>
      <c r="G91" s="18" t="str">
        <f t="shared" si="11"/>
        <v>'</v>
      </c>
      <c r="H91" s="440"/>
      <c r="J91" s="212"/>
    </row>
    <row r="92" spans="1:10" ht="27.6" customHeight="1">
      <c r="A92" s="10"/>
      <c r="B92" s="465" t="str">
        <f>Language!A1519</f>
        <v>The methane sulfonate derivative of colistin ("cms") is an inactive pro-drug that breaks down slowly in solution and therefore cannot be used for AST.</v>
      </c>
      <c r="C92"/>
      <c r="F92" s="29"/>
      <c r="G92" s="1"/>
      <c r="H92" s="270"/>
    </row>
    <row r="93" spans="1:10" ht="27.6" customHeight="1">
      <c r="A93" s="77" t="s">
        <v>1475</v>
      </c>
      <c r="B93" s="8" t="str">
        <f>Language!A1520</f>
        <v>If the lab performs broth microdilution (BMD) for colistin AST, is cation-adjusted Mueller Hinton broth used?</v>
      </c>
      <c r="C93" s="27"/>
      <c r="F93" s="29">
        <f>C93</f>
        <v>0</v>
      </c>
      <c r="G93" s="18" t="str">
        <f t="shared" si="11"/>
        <v>'</v>
      </c>
      <c r="H93" s="440"/>
    </row>
    <row r="94" spans="1:10">
      <c r="A94" s="10"/>
      <c r="B94" s="465" t="str">
        <f>Language!A1521</f>
        <v>Answer NA if the lab does not perform BMD</v>
      </c>
      <c r="C94"/>
      <c r="F94" s="29"/>
      <c r="G94" s="18" t="str">
        <f t="shared" si="11"/>
        <v>'</v>
      </c>
      <c r="H94" s="269"/>
    </row>
    <row r="95" spans="1:10" ht="41.4" customHeight="1">
      <c r="A95" s="77" t="s">
        <v>1476</v>
      </c>
      <c r="B95" s="60" t="str">
        <f>Language!A1522</f>
        <v>Do laboratory staff understand the current limitations associated with colistin AST? (i.e., the risk of false susceptible results when using disk diffusion, gradient strip, or automated methods.)</v>
      </c>
      <c r="C95" s="27"/>
      <c r="F95" s="29">
        <f>C95</f>
        <v>0</v>
      </c>
      <c r="G95" s="18" t="str">
        <f t="shared" si="11"/>
        <v>'</v>
      </c>
      <c r="H95" s="440"/>
      <c r="I95" s="194" t="str">
        <f>IF(C95="No","Training Opportunity","'")</f>
        <v>'</v>
      </c>
    </row>
    <row r="96" spans="1:10" ht="27.6" customHeight="1">
      <c r="A96" s="77" t="s">
        <v>1477</v>
      </c>
      <c r="B96" s="8" t="str">
        <f>Language!A1523</f>
        <v>Has the lab educated the medical staff about the current limitations and risks associated with colistin AST?</v>
      </c>
      <c r="C96" s="27"/>
      <c r="F96" s="29">
        <f>C96</f>
        <v>0</v>
      </c>
      <c r="G96" s="18" t="str">
        <f t="shared" si="11"/>
        <v>'</v>
      </c>
      <c r="H96" s="440"/>
    </row>
    <row r="97" spans="1:10" ht="16.2" thickBot="1">
      <c r="A97" s="10"/>
      <c r="C97" s="8"/>
      <c r="F97" s="29"/>
      <c r="G97" s="18"/>
      <c r="H97" s="269"/>
    </row>
    <row r="98" spans="1:10" ht="16.2" thickBot="1">
      <c r="A98" s="166"/>
      <c r="B98" s="34" t="str">
        <f>Language!A1524</f>
        <v>EXPERT RULES FOR STAPHYLOCOCCUS AUREUS</v>
      </c>
      <c r="C98" s="44" t="str">
        <f>IF(COUNTBLANK(C99:C111)=13,"???",IF(COUNT(G99:G111)=0,"NA",AVERAGE(G99:G111)))</f>
        <v>???</v>
      </c>
      <c r="E98" s="30"/>
      <c r="G98" s="30"/>
      <c r="H98" s="432"/>
    </row>
    <row r="99" spans="1:10">
      <c r="A99" s="77" t="s">
        <v>1478</v>
      </c>
      <c r="B99" s="8" t="str">
        <f>Language!A1525</f>
        <v xml:space="preserve">Does the lab test S. aureus isolates against penicillin? </v>
      </c>
      <c r="C99" s="179"/>
      <c r="F99" s="29">
        <f>C99</f>
        <v>0</v>
      </c>
      <c r="G99" s="18"/>
      <c r="H99" s="440"/>
      <c r="J99" s="212"/>
    </row>
    <row r="100" spans="1:10">
      <c r="A100" s="10"/>
      <c r="B100" s="465" t="str">
        <f>Language!A1526</f>
        <v>If no, answer NA to next question</v>
      </c>
      <c r="C100"/>
      <c r="F100" s="29"/>
      <c r="G100" s="18"/>
      <c r="H100" s="269"/>
    </row>
    <row r="101" spans="1:10" ht="41.4" customHeight="1">
      <c r="A101" s="77" t="s">
        <v>1479</v>
      </c>
      <c r="B101" s="8" t="str">
        <f>Language!A1527</f>
        <v>Are S. aureus isolates with penicillin zones sizes or MICs in the susceptible range tested for β-lactamase production using the zone-edge test before being reported as penicillin susceptible?</v>
      </c>
      <c r="C101" s="27"/>
      <c r="F101" s="29">
        <f>C101</f>
        <v>0</v>
      </c>
      <c r="G101" s="18" t="str">
        <f>IF(F101="Yes",1,IF(F101="No",0,"'"))</f>
        <v>'</v>
      </c>
      <c r="H101" s="440"/>
      <c r="J101" s="212"/>
    </row>
    <row r="102" spans="1:10">
      <c r="A102" s="77" t="s">
        <v>1480</v>
      </c>
      <c r="B102" s="8" t="str">
        <f>Language!A1528</f>
        <v>Does the lab use Oxacillin disks to test for MRSA?</v>
      </c>
      <c r="C102" s="27"/>
      <c r="F102" s="29">
        <f>C102</f>
        <v>0</v>
      </c>
      <c r="G102" s="18" t="str">
        <f>IF(F102="No",1,IF(F102="Yes",0,"'"))</f>
        <v>'</v>
      </c>
      <c r="H102" s="440"/>
      <c r="I102" s="18" t="str">
        <f>IF(C102="Yes","Red Flag","'")</f>
        <v>'</v>
      </c>
    </row>
    <row r="103" spans="1:10" ht="27.6" customHeight="1">
      <c r="A103" s="77" t="s">
        <v>1481</v>
      </c>
      <c r="B103" s="8" t="str">
        <f>Language!A1529</f>
        <v xml:space="preserve">When oxacillin and cefoxitin results are discrepant for S. aureus (one is S and one is R), how does the lab report oxacillin? </v>
      </c>
      <c r="C103" s="27"/>
      <c r="F103" s="29">
        <f>C103</f>
        <v>0</v>
      </c>
      <c r="G103" s="18" t="str">
        <f>IF(F103=3,1,IF(F103=2,0.5,IF(F103=1,0,"'")))</f>
        <v>'</v>
      </c>
      <c r="H103" s="440"/>
      <c r="I103" s="183" t="str">
        <f>IF(C103=1,"Red Flag","'")</f>
        <v>'</v>
      </c>
    </row>
    <row r="104" spans="1:10" ht="55.2" customHeight="1">
      <c r="A104" s="10"/>
      <c r="B104" s="465" t="str">
        <f>Language!A1530</f>
        <v>1: Report the oxacillin interpretation, regardless of what the cefoxitin result is - 2: Report the cefoxitin interpretation, regardless of what the oxacillin result is - 3: If either drug tests R, report the result as R - NA: the lab only tests one of these drugs, not both</v>
      </c>
      <c r="C104"/>
      <c r="F104" s="29"/>
      <c r="G104" s="18"/>
      <c r="H104" s="269"/>
    </row>
    <row r="105" spans="1:10" ht="27.6" customHeight="1">
      <c r="A105" s="77" t="s">
        <v>1482</v>
      </c>
      <c r="B105" s="8" t="str">
        <f>Language!A1531</f>
        <v>Does the lab perform S. aureus AST on any beta-lactam antibiotics other than penicillin, oxacillin, cefoxitin, or ceftaroline?</v>
      </c>
      <c r="C105" s="27"/>
      <c r="F105" s="29">
        <f>C105</f>
        <v>0</v>
      </c>
      <c r="G105" s="18" t="str">
        <f>IF(F105="No",1,IF(F105="Yes",0,"'"))</f>
        <v>'</v>
      </c>
      <c r="H105" s="440"/>
      <c r="I105" s="18" t="str">
        <f>IF(C105="Yes","Red Flag","'")</f>
        <v>'</v>
      </c>
    </row>
    <row r="106" spans="1:10" ht="27.6" customHeight="1">
      <c r="A106" s="77" t="s">
        <v>1483</v>
      </c>
      <c r="B106" s="8" t="str">
        <f>Language!A1532</f>
        <v>Does the lab use vancomycin disks to test for VISA/VRSA?</v>
      </c>
      <c r="C106" s="27"/>
      <c r="F106" s="29">
        <f>C106</f>
        <v>0</v>
      </c>
      <c r="G106" s="18" t="str">
        <f>IF(F106="No",1,IF(F106="Yes",0,"'"))</f>
        <v>'</v>
      </c>
      <c r="H106" s="440"/>
      <c r="I106" s="18" t="str">
        <f>IF(C106="Yes","Red Flag","'")</f>
        <v>'</v>
      </c>
    </row>
    <row r="107" spans="1:10" ht="27.6" customHeight="1">
      <c r="A107" s="77" t="s">
        <v>1484</v>
      </c>
      <c r="B107" s="20" t="str">
        <f>Language!A1533</f>
        <v>When a manual MIC method is used to test vancomycin against Staph aureus, is the test incubated for a full 24 hours before reading the result?</v>
      </c>
      <c r="C107" s="27"/>
      <c r="F107" s="29">
        <f>C107</f>
        <v>0</v>
      </c>
      <c r="G107" s="18" t="str">
        <f>IF(F107="Yes",1,IF(F107="No",0,"'"))</f>
        <v>'</v>
      </c>
      <c r="H107" s="440"/>
    </row>
    <row r="108" spans="1:10">
      <c r="A108" s="10"/>
      <c r="B108" s="465" t="str">
        <f>Language!A1534</f>
        <v>Answer NA if manual MIC method not used</v>
      </c>
      <c r="C108" s="2"/>
      <c r="D108" s="2"/>
      <c r="E108" s="2"/>
      <c r="F108" s="2"/>
      <c r="G108" s="2"/>
      <c r="H108" s="272"/>
      <c r="I108" s="187"/>
    </row>
    <row r="109" spans="1:10" ht="27.6" customHeight="1">
      <c r="A109" s="77" t="s">
        <v>1485</v>
      </c>
      <c r="B109" s="20" t="str">
        <f>Language!A1535</f>
        <v>When a vancomycin MIC &gt;8 is detected for S. aureus, is the isolate sent to a referral lab for confirmation testing and further characterization?</v>
      </c>
      <c r="C109" s="27"/>
      <c r="F109" s="29">
        <f>C109</f>
        <v>0</v>
      </c>
      <c r="G109" s="18" t="str">
        <f>IF(F109="Yes",1,IF(F109="No",0,"'"))</f>
        <v>'</v>
      </c>
      <c r="H109" s="440"/>
      <c r="J109" s="212"/>
    </row>
    <row r="110" spans="1:10">
      <c r="A110" s="10"/>
      <c r="B110" s="465" t="str">
        <f>Language!A1536</f>
        <v xml:space="preserve">Answer NA if vancomycin not tested </v>
      </c>
      <c r="C110" s="2"/>
      <c r="D110" s="2"/>
      <c r="E110" s="2"/>
      <c r="F110" s="2"/>
      <c r="G110" s="2"/>
      <c r="H110" s="272"/>
      <c r="I110" s="187"/>
    </row>
    <row r="111" spans="1:10" ht="27.6" customHeight="1">
      <c r="A111" s="77" t="s">
        <v>1486</v>
      </c>
      <c r="B111" s="20" t="str">
        <f>Language!A1537</f>
        <v>Are S. aureus that are resistant to Erythromycin and susceptible or intermediate to Clindamycin tested for inducible clindamycin resistance?</v>
      </c>
      <c r="C111" s="27"/>
      <c r="F111" s="29">
        <f>C111</f>
        <v>0</v>
      </c>
      <c r="G111" s="18" t="str">
        <f>IF(F111="Yes",1,IF(F111="No",0,"'"))</f>
        <v>'</v>
      </c>
      <c r="H111" s="440"/>
      <c r="I111" s="18" t="str">
        <f>IF(C111="No","Red Flag","'")</f>
        <v>'</v>
      </c>
    </row>
    <row r="112" spans="1:10" ht="16.2" thickBot="1">
      <c r="A112" s="10"/>
      <c r="C112" s="8"/>
      <c r="F112" s="29"/>
      <c r="G112" s="18"/>
      <c r="H112" s="269"/>
    </row>
    <row r="113" spans="1:10" ht="16.2" thickBot="1">
      <c r="A113" s="166"/>
      <c r="B113" s="34" t="str">
        <f>Language!A1538</f>
        <v>GENERAL CONSIDERATIONS FOR STREPTOCOCCUS PNEUMONIAE</v>
      </c>
      <c r="C113" s="44" t="str">
        <f>IF(COUNTBLANK(C116:C120)=5,"???",IF(COUNT(G116:G120)=0,"NA",AVERAGE(G116:G120)))</f>
        <v>???</v>
      </c>
      <c r="E113" s="30"/>
      <c r="G113" s="30"/>
      <c r="H113" s="432"/>
    </row>
    <row r="114" spans="1:10" ht="27.6" customHeight="1">
      <c r="A114" s="10"/>
      <c r="B114" s="48" t="str">
        <f>Language!A1539</f>
        <v>If lab does not perform disk or Etest for S. pneumoniae AST, select N/A for all answers</v>
      </c>
      <c r="C114" s="8"/>
      <c r="D114" s="8"/>
      <c r="F114" s="29"/>
      <c r="G114" s="18"/>
    </row>
    <row r="115" spans="1:10">
      <c r="A115" s="10"/>
      <c r="B115" s="8" t="str">
        <f>Language!A1540</f>
        <v>Observe a S. pneumoniae AST plate being read</v>
      </c>
      <c r="C115" s="8"/>
      <c r="F115" s="29"/>
      <c r="G115" s="18"/>
    </row>
    <row r="116" spans="1:10">
      <c r="A116" s="77" t="s">
        <v>1487</v>
      </c>
      <c r="B116" s="37" t="str">
        <f>Language!A1541</f>
        <v>Is the upper surface of the agar read with the cover removed?</v>
      </c>
      <c r="C116" s="27"/>
      <c r="F116" s="29">
        <f>C116</f>
        <v>0</v>
      </c>
      <c r="G116" s="18" t="str">
        <f>IF(F116="Yes",1,IF(F116="No",0,"'"))</f>
        <v>'</v>
      </c>
      <c r="H116" s="440"/>
    </row>
    <row r="117" spans="1:10">
      <c r="A117" s="77" t="s">
        <v>1488</v>
      </c>
      <c r="B117" s="37" t="str">
        <f>Language!A1542</f>
        <v>Is the plate illuminated adequately with reflected light?</v>
      </c>
      <c r="C117" s="27"/>
      <c r="F117" s="29">
        <f>C117</f>
        <v>0</v>
      </c>
      <c r="G117" s="18" t="str">
        <f t="shared" ref="G117:G119" si="12">IF(F117="Yes",1,IF(F117="No",0,"'"))</f>
        <v>'</v>
      </c>
      <c r="H117" s="440"/>
    </row>
    <row r="118" spans="1:10">
      <c r="A118" s="77" t="s">
        <v>1489</v>
      </c>
      <c r="B118" s="37" t="str">
        <f>Language!A1543</f>
        <v>Are zones measured where growth is inhibited (as opposed to the zone of hemolysis)?</v>
      </c>
      <c r="C118" s="27"/>
      <c r="F118" s="29">
        <f>C118</f>
        <v>0</v>
      </c>
      <c r="G118" s="18" t="str">
        <f t="shared" si="12"/>
        <v>'</v>
      </c>
      <c r="H118" s="440"/>
    </row>
    <row r="119" spans="1:10">
      <c r="A119" s="77" t="s">
        <v>1490</v>
      </c>
      <c r="B119" s="37" t="str">
        <f>Language!A1544</f>
        <v>Are there no more than 4 disks per 100mm plate or 9 disks per 150mm plate?</v>
      </c>
      <c r="C119" s="27"/>
      <c r="F119" s="29">
        <f>C119</f>
        <v>0</v>
      </c>
      <c r="G119" s="18" t="str">
        <f t="shared" si="12"/>
        <v>'</v>
      </c>
      <c r="H119" s="440"/>
    </row>
    <row r="120" spans="1:10" ht="41.4" customHeight="1">
      <c r="A120" s="77" t="s">
        <v>1491</v>
      </c>
      <c r="B120" s="8" t="str">
        <f>Language!A1545</f>
        <v>If the lab uses an oxacillin disk (1ug) to screen for penicillin resistance in Strep. pneumoniae, what does the lab’s SOP instruct when the zone size measures &lt;19? (Referring to penicillin G or Benzylpenicillin, the IV formulation)</v>
      </c>
      <c r="C120" s="27"/>
      <c r="F120" s="29">
        <f>C120</f>
        <v>0</v>
      </c>
      <c r="G120" s="18" t="str">
        <f>IF(F120=2,1,IF(F120=1,0,"'"))</f>
        <v>'</v>
      </c>
      <c r="H120" s="440"/>
    </row>
    <row r="121" spans="1:10" ht="27.6" customHeight="1">
      <c r="A121" s="10"/>
      <c r="B121" s="465" t="str">
        <f>Language!A1546</f>
        <v>1: Report penicillin resistant - 2: Perform additional testing using a penicillin MIC method - NA: lab does not perform oxacillin screen</v>
      </c>
      <c r="C121" s="8"/>
      <c r="F121" s="29"/>
      <c r="G121" s="18"/>
      <c r="H121" s="269"/>
    </row>
    <row r="122" spans="1:10">
      <c r="A122" s="166"/>
      <c r="B122" s="34" t="str">
        <f>Language!A1547</f>
        <v>EXPERT RULES FOR STREPTOCOCCUS PNEUMONIAE</v>
      </c>
      <c r="C122" s="44" t="str">
        <f>IF(C123="No","NA",IF(COUNTBLANK(C125:C140)=16,"???",IF(COUNT(G125:G140)=0,"NA",AVERAGE(G125:G140))))</f>
        <v>???</v>
      </c>
      <c r="F122" s="29"/>
      <c r="G122" s="18"/>
      <c r="H122" s="269"/>
    </row>
    <row r="123" spans="1:10">
      <c r="A123" s="10"/>
      <c r="B123" s="8" t="str">
        <f>Language!A1548</f>
        <v>Does the lab perform AST for S.pneumoniae? (Not scored. If No, skip to next section.)</v>
      </c>
      <c r="C123" s="109"/>
      <c r="F123" s="29">
        <f>C123</f>
        <v>0</v>
      </c>
      <c r="G123" s="18"/>
      <c r="H123" s="440"/>
      <c r="J123" s="212"/>
    </row>
    <row r="124" spans="1:10" ht="27.6" customHeight="1">
      <c r="A124" s="10"/>
      <c r="B124" s="8" t="str">
        <f>Language!A1549</f>
        <v>Does the lab use the disk diffusion method to test any of the following antibiotics against S.pneumo?</v>
      </c>
      <c r="C124" s="8"/>
      <c r="F124" s="29"/>
      <c r="G124" s="18"/>
      <c r="H124" s="269"/>
    </row>
    <row r="125" spans="1:10">
      <c r="A125" s="77" t="s">
        <v>1492</v>
      </c>
      <c r="B125" s="37" t="str">
        <f>Language!A1550</f>
        <v>Penicillin</v>
      </c>
      <c r="C125" s="27"/>
      <c r="F125" s="29">
        <f t="shared" ref="F125:F134" si="13">C125</f>
        <v>0</v>
      </c>
      <c r="G125" s="18" t="str">
        <f>IF(F125="No",1,IF(F125="Yes",0,"'"))</f>
        <v>'</v>
      </c>
      <c r="H125" s="440"/>
      <c r="I125" s="183" t="str">
        <f>IF(F125="Yes","Red Flag","'")</f>
        <v>'</v>
      </c>
    </row>
    <row r="126" spans="1:10">
      <c r="A126" s="77" t="s">
        <v>1493</v>
      </c>
      <c r="B126" s="37" t="str">
        <f>Language!A1551</f>
        <v>Amoxicillin</v>
      </c>
      <c r="C126" s="27"/>
      <c r="F126" s="29">
        <f t="shared" si="13"/>
        <v>0</v>
      </c>
      <c r="G126" s="18" t="str">
        <f t="shared" ref="G126:G134" si="14">IF(F126="No",1,IF(F126="Yes",0,"'"))</f>
        <v>'</v>
      </c>
      <c r="H126" s="440"/>
      <c r="I126" s="183" t="str">
        <f t="shared" ref="I126:I134" si="15">IF(F126="Yes","Red Flag","'")</f>
        <v>'</v>
      </c>
    </row>
    <row r="127" spans="1:10">
      <c r="A127" s="77" t="s">
        <v>1494</v>
      </c>
      <c r="B127" s="37" t="str">
        <f>Language!A1552</f>
        <v>Ampicillin</v>
      </c>
      <c r="C127" s="27"/>
      <c r="F127" s="29">
        <f t="shared" si="13"/>
        <v>0</v>
      </c>
      <c r="G127" s="18" t="str">
        <f t="shared" si="14"/>
        <v>'</v>
      </c>
      <c r="H127" s="440"/>
      <c r="I127" s="183" t="str">
        <f t="shared" si="15"/>
        <v>'</v>
      </c>
    </row>
    <row r="128" spans="1:10">
      <c r="A128" s="77" t="s">
        <v>1495</v>
      </c>
      <c r="B128" s="37" t="str">
        <f>Language!A1553</f>
        <v>Cefotaxime</v>
      </c>
      <c r="C128" s="27"/>
      <c r="F128" s="29">
        <f t="shared" si="13"/>
        <v>0</v>
      </c>
      <c r="G128" s="18" t="str">
        <f t="shared" si="14"/>
        <v>'</v>
      </c>
      <c r="H128" s="440"/>
      <c r="I128" s="183" t="str">
        <f t="shared" si="15"/>
        <v>'</v>
      </c>
    </row>
    <row r="129" spans="1:10">
      <c r="A129" s="77" t="s">
        <v>1496</v>
      </c>
      <c r="B129" s="37" t="str">
        <f>Language!A1554</f>
        <v>Ceftriaxone</v>
      </c>
      <c r="C129" s="27"/>
      <c r="F129" s="29">
        <f t="shared" si="13"/>
        <v>0</v>
      </c>
      <c r="G129" s="18" t="str">
        <f t="shared" si="14"/>
        <v>'</v>
      </c>
      <c r="H129" s="440"/>
      <c r="I129" s="183" t="str">
        <f t="shared" si="15"/>
        <v>'</v>
      </c>
    </row>
    <row r="130" spans="1:10">
      <c r="A130" s="77" t="s">
        <v>1497</v>
      </c>
      <c r="B130" s="37" t="str">
        <f>Language!A1555</f>
        <v>Cefuroxime</v>
      </c>
      <c r="C130" s="27"/>
      <c r="F130" s="29">
        <f t="shared" si="13"/>
        <v>0</v>
      </c>
      <c r="G130" s="18" t="str">
        <f t="shared" si="14"/>
        <v>'</v>
      </c>
      <c r="H130" s="440"/>
      <c r="I130" s="183" t="str">
        <f t="shared" si="15"/>
        <v>'</v>
      </c>
    </row>
    <row r="131" spans="1:10">
      <c r="A131" s="77" t="s">
        <v>1498</v>
      </c>
      <c r="B131" s="37" t="str">
        <f>Language!A1556</f>
        <v>Cefepime</v>
      </c>
      <c r="C131" s="27"/>
      <c r="F131" s="29">
        <f t="shared" si="13"/>
        <v>0</v>
      </c>
      <c r="G131" s="18" t="str">
        <f t="shared" si="14"/>
        <v>'</v>
      </c>
      <c r="H131" s="440"/>
      <c r="I131" s="183" t="str">
        <f t="shared" si="15"/>
        <v>'</v>
      </c>
    </row>
    <row r="132" spans="1:10">
      <c r="A132" s="77" t="s">
        <v>1499</v>
      </c>
      <c r="B132" s="37" t="str">
        <f>Language!A1557</f>
        <v>Ertapenem</v>
      </c>
      <c r="C132" s="27"/>
      <c r="F132" s="29">
        <f t="shared" si="13"/>
        <v>0</v>
      </c>
      <c r="G132" s="18" t="str">
        <f t="shared" si="14"/>
        <v>'</v>
      </c>
      <c r="H132" s="440"/>
      <c r="I132" s="183" t="str">
        <f t="shared" si="15"/>
        <v>'</v>
      </c>
    </row>
    <row r="133" spans="1:10">
      <c r="A133" s="77" t="s">
        <v>1500</v>
      </c>
      <c r="B133" s="37" t="str">
        <f>Language!A1558</f>
        <v>Meropenem</v>
      </c>
      <c r="C133" s="27"/>
      <c r="F133" s="29">
        <f t="shared" si="13"/>
        <v>0</v>
      </c>
      <c r="G133" s="18" t="str">
        <f t="shared" si="14"/>
        <v>'</v>
      </c>
      <c r="H133" s="440"/>
      <c r="I133" s="183" t="str">
        <f t="shared" si="15"/>
        <v>'</v>
      </c>
    </row>
    <row r="134" spans="1:10">
      <c r="A134" s="77" t="s">
        <v>1501</v>
      </c>
      <c r="B134" s="37" t="str">
        <f>Language!A1559</f>
        <v>Imipenem</v>
      </c>
      <c r="C134" s="27"/>
      <c r="F134" s="29">
        <f t="shared" si="13"/>
        <v>0</v>
      </c>
      <c r="G134" s="18" t="str">
        <f t="shared" si="14"/>
        <v>'</v>
      </c>
      <c r="H134" s="440"/>
      <c r="I134" s="183" t="str">
        <f t="shared" si="15"/>
        <v>'</v>
      </c>
    </row>
    <row r="135" spans="1:10" ht="27.6" customHeight="1">
      <c r="A135" s="10"/>
      <c r="B135" s="8" t="str">
        <f>Language!A1560</f>
        <v>When S. pneumoniae is isolated from blood or cerebrospinal fluid, does the lab test the following antibiotics using an MIC method?</v>
      </c>
    </row>
    <row r="136" spans="1:10">
      <c r="A136" s="77" t="s">
        <v>1502</v>
      </c>
      <c r="B136" s="37" t="str">
        <f>Language!A1561</f>
        <v>Penicillin</v>
      </c>
      <c r="C136" s="27"/>
      <c r="F136" s="29">
        <f>C136</f>
        <v>0</v>
      </c>
      <c r="G136" s="18" t="str">
        <f>IF(F136="Yes",1,IF(F136="No",0,"'"))</f>
        <v>'</v>
      </c>
      <c r="H136" s="268"/>
      <c r="J136" s="212"/>
    </row>
    <row r="137" spans="1:10">
      <c r="A137" s="77" t="s">
        <v>1503</v>
      </c>
      <c r="B137" s="37" t="str">
        <f>Language!A1562</f>
        <v>Ceftriaxone and/or Cefotaxime</v>
      </c>
      <c r="C137" s="27"/>
      <c r="F137" s="29">
        <f>C137</f>
        <v>0</v>
      </c>
      <c r="G137" s="18" t="str">
        <f t="shared" ref="G137:G140" si="16">IF(F137="Yes",1,IF(F137="No",0,"'"))</f>
        <v>'</v>
      </c>
      <c r="H137" s="268"/>
      <c r="J137" s="212"/>
    </row>
    <row r="138" spans="1:10" ht="27.6" customHeight="1">
      <c r="A138" s="77" t="s">
        <v>1504</v>
      </c>
      <c r="B138" s="8" t="str">
        <f>Language!A1563</f>
        <v xml:space="preserve">When S. pneumoniae is isolated from CSF, are penicillin, ceftriaxone, and/or cefotaxime reported using the meningitis breakpoints only? </v>
      </c>
      <c r="C138" s="27"/>
      <c r="F138" s="29">
        <f>C138</f>
        <v>0</v>
      </c>
      <c r="G138" s="18" t="str">
        <f t="shared" si="16"/>
        <v>'</v>
      </c>
      <c r="H138" s="268"/>
      <c r="J138" s="212"/>
    </row>
    <row r="139" spans="1:10" ht="27.6" customHeight="1">
      <c r="A139" s="77" t="s">
        <v>1505</v>
      </c>
      <c r="B139" s="8" t="str">
        <f>Language!A1564</f>
        <v xml:space="preserve">When S. pneumoniae is isolated from specimens other than CSF, are penicillin, ceftriaxone, and/or cefotaxime reported using both meningitis and non-meningitis breakpoints? </v>
      </c>
      <c r="C139" s="27"/>
      <c r="F139" s="29">
        <f>C139</f>
        <v>0</v>
      </c>
      <c r="G139" s="18" t="str">
        <f t="shared" si="16"/>
        <v>'</v>
      </c>
      <c r="H139" s="268"/>
      <c r="J139" s="212"/>
    </row>
    <row r="140" spans="1:10" ht="27.6" customHeight="1">
      <c r="A140" s="77" t="s">
        <v>1506</v>
      </c>
      <c r="B140" s="8" t="str">
        <f>Language!A1565</f>
        <v>Are S. pneumoniae that are resistant to Erythromycin and susceptible or intermediate to Clindamycin tested for inducible clindamycin resistance?</v>
      </c>
      <c r="C140" s="27"/>
      <c r="F140" s="29">
        <f>C140</f>
        <v>0</v>
      </c>
      <c r="G140" s="18" t="str">
        <f t="shared" si="16"/>
        <v>'</v>
      </c>
      <c r="H140" s="268"/>
      <c r="I140" s="18" t="str">
        <f>IF(C140="No","Red Flag","'")</f>
        <v>'</v>
      </c>
    </row>
    <row r="141" spans="1:10" ht="16.2" thickBot="1">
      <c r="A141" s="10"/>
      <c r="C141" s="8"/>
      <c r="F141" s="29"/>
      <c r="G141" s="18"/>
      <c r="H141" s="269"/>
    </row>
    <row r="142" spans="1:10" ht="16.2" thickBot="1">
      <c r="A142" s="166"/>
      <c r="B142" s="34" t="str">
        <f>Language!A1566</f>
        <v>INDUCIBLE CLINDAMYCIN RESISTANCE TESTING</v>
      </c>
      <c r="C142" s="44" t="str">
        <f>IF(COUNTBLANK(C143:C148)=6,"???",IF(COUNT(G143:G148)=0,"NA",AVERAGE(G143:G148)))</f>
        <v>???</v>
      </c>
      <c r="E142" s="30"/>
      <c r="G142" s="30"/>
      <c r="H142" s="432"/>
    </row>
    <row r="143" spans="1:10" ht="27.6" customHeight="1">
      <c r="A143" s="77" t="s">
        <v>1507</v>
      </c>
      <c r="B143" s="59" t="str">
        <f>Language!A1567</f>
        <v xml:space="preserve">Does the lab perform the test for Inducible Clindamycin Resistance (ICR), also known as the “D-test” on Staphylococcus aureus and/or Streptococcus pneumoniae? </v>
      </c>
      <c r="C143" s="27"/>
      <c r="F143" s="29">
        <f t="shared" ref="F143:F148" si="17">C143</f>
        <v>0</v>
      </c>
      <c r="G143" s="18" t="str">
        <f>IF(F143="Yes",1,"'")</f>
        <v>'</v>
      </c>
      <c r="H143" s="463"/>
      <c r="J143" s="212"/>
    </row>
    <row r="144" spans="1:10" ht="27.6" customHeight="1">
      <c r="A144" s="77" t="s">
        <v>1508</v>
      </c>
      <c r="B144" s="20" t="str">
        <f>Language!A1568</f>
        <v>Does the SOP for the ICR test specify that the erythromycin and clindamycin disks must be placed 15-26 mm apart for Staphylococcus species?</v>
      </c>
      <c r="C144" s="27"/>
      <c r="F144" s="29">
        <f t="shared" si="17"/>
        <v>0</v>
      </c>
      <c r="G144" s="18" t="str">
        <f>IF(F144="Yes",1,IF(F144="No",0,"'"))</f>
        <v>'</v>
      </c>
      <c r="H144" s="440"/>
      <c r="J144" s="212"/>
    </row>
    <row r="145" spans="1:10" ht="27.6" customHeight="1">
      <c r="A145" s="77" t="s">
        <v>1509</v>
      </c>
      <c r="B145" s="20" t="str">
        <f>Language!A1569</f>
        <v>Does the SOP for the ICR test specify that the erythromycin and clindamycin disks must be placed 12 mm apart for Streptococcus species?</v>
      </c>
      <c r="C145" s="27"/>
      <c r="F145" s="29">
        <f t="shared" si="17"/>
        <v>0</v>
      </c>
      <c r="G145" s="18" t="str">
        <f t="shared" ref="G145:G148" si="18">IF(F145="Yes",1,IF(F145="No",0,"'"))</f>
        <v>'</v>
      </c>
      <c r="H145" s="440"/>
      <c r="J145" s="212"/>
    </row>
    <row r="146" spans="1:10" ht="27.6" customHeight="1">
      <c r="A146" s="77" t="s">
        <v>1784</v>
      </c>
      <c r="B146" s="20" t="str">
        <f>Language!A1570</f>
        <v>Do records indicate that quality control for ICR testing is done either on a weekly basis or each time the test is performed?</v>
      </c>
      <c r="C146" s="27"/>
      <c r="F146" s="29">
        <f t="shared" si="17"/>
        <v>0</v>
      </c>
      <c r="G146" s="18" t="str">
        <f t="shared" si="18"/>
        <v>'</v>
      </c>
      <c r="H146" s="440"/>
      <c r="J146" s="212"/>
    </row>
    <row r="147" spans="1:10" ht="27.6" customHeight="1">
      <c r="A147" s="77" t="s">
        <v>1964</v>
      </c>
      <c r="B147" s="20" t="str">
        <f>Language!A1571</f>
        <v>Do records indicate that lab uses both positive and negative control organisms to QC the ICR test in use? (Commonly used ICR positive strain is S. aureus ATCC BAA-977)</v>
      </c>
      <c r="C147" s="27"/>
      <c r="F147" s="29">
        <f t="shared" si="17"/>
        <v>0</v>
      </c>
      <c r="G147" s="18" t="str">
        <f t="shared" si="18"/>
        <v>'</v>
      </c>
      <c r="H147" s="440"/>
      <c r="J147" s="212"/>
    </row>
    <row r="148" spans="1:10">
      <c r="A148" s="77" t="s">
        <v>1965</v>
      </c>
      <c r="B148" s="20" t="str">
        <f>Language!A1572</f>
        <v xml:space="preserve">When the ICR test is positive, is the clindamycin result changed to resistant? </v>
      </c>
      <c r="C148" s="27"/>
      <c r="F148" s="29">
        <f t="shared" si="17"/>
        <v>0</v>
      </c>
      <c r="G148" s="18" t="str">
        <f t="shared" si="18"/>
        <v>'</v>
      </c>
      <c r="H148" s="440"/>
      <c r="I148" s="18" t="str">
        <f>IF(C148="No","Red Flag","'")</f>
        <v>'</v>
      </c>
    </row>
    <row r="149" spans="1:10" ht="16.2" thickBot="1">
      <c r="A149" s="185"/>
      <c r="B149" s="20"/>
      <c r="C149" s="56"/>
      <c r="D149" s="56"/>
      <c r="F149" s="29"/>
      <c r="G149" s="18"/>
      <c r="H149" s="269"/>
    </row>
    <row r="150" spans="1:10" ht="16.2" thickBot="1">
      <c r="A150" s="166"/>
      <c r="B150" s="34" t="str">
        <f>Language!A1573</f>
        <v>EXPERT RULES FOR CEREBROSPINAL FLUID (CSF)</v>
      </c>
      <c r="C150" s="44" t="str">
        <f>IF(COUNTBLANK(C153:C160)=8,"???",IF(COUNT(G153:G160)=0,"NA",AVERAGE(G153:G160)))</f>
        <v>???</v>
      </c>
      <c r="E150" s="30"/>
      <c r="G150" s="30"/>
      <c r="H150" s="432"/>
    </row>
    <row r="151" spans="1:10" ht="27.6" customHeight="1">
      <c r="A151" s="10"/>
      <c r="B151" s="8" t="str">
        <f>Language!A1574</f>
        <v xml:space="preserve">Review a patient AST report for a positive CSF culture. Were any of the following drug classes tested or reported? </v>
      </c>
      <c r="I151" s="188"/>
    </row>
    <row r="152" spans="1:10" ht="27.6" customHeight="1">
      <c r="A152" s="10"/>
      <c r="B152" s="491" t="str">
        <f>Language!A1575</f>
        <v>(The following are not the drugs of choice and may not be effective for treating CSF infections, regardless of the AST result)</v>
      </c>
      <c r="C152" s="61"/>
      <c r="I152" s="188"/>
    </row>
    <row r="153" spans="1:10">
      <c r="A153" s="77" t="s">
        <v>1966</v>
      </c>
      <c r="B153" s="37" t="str">
        <f>Language!A1576</f>
        <v>1st generation cephalosporins (cefazolin, cephalothin, cephapirin, cephadrine)</v>
      </c>
      <c r="C153" s="27"/>
      <c r="F153" s="29">
        <f t="shared" ref="F153:F160" si="19">C153</f>
        <v>0</v>
      </c>
      <c r="G153" s="18" t="str">
        <f>IF(F153="No",1,IF(F153="Yes",0,"'"))</f>
        <v>'</v>
      </c>
      <c r="H153" s="440"/>
      <c r="I153" s="18" t="str">
        <f t="shared" ref="I153:I160" si="20">IF(C153="Yes","Red Flag","'")</f>
        <v>'</v>
      </c>
    </row>
    <row r="154" spans="1:10">
      <c r="A154" s="77" t="s">
        <v>1967</v>
      </c>
      <c r="B154" s="37" t="str">
        <f>Language!A1577</f>
        <v>2nd generation cephalosporins (cefuroxime, cefonicid, cefamandole)</v>
      </c>
      <c r="C154" s="27"/>
      <c r="F154" s="29">
        <f t="shared" si="19"/>
        <v>0</v>
      </c>
      <c r="G154" s="18" t="str">
        <f t="shared" ref="G154:G160" si="21">IF(F154="No",1,IF(F154="Yes",0,"'"))</f>
        <v>'</v>
      </c>
      <c r="H154" s="440"/>
      <c r="I154" s="18" t="str">
        <f t="shared" si="20"/>
        <v>'</v>
      </c>
    </row>
    <row r="155" spans="1:10">
      <c r="A155" s="77" t="s">
        <v>1968</v>
      </c>
      <c r="B155" s="37" t="str">
        <f>Language!A1578</f>
        <v>Cephamycins (cefoxitin, cefotetan)</v>
      </c>
      <c r="C155" s="27"/>
      <c r="F155" s="29">
        <f t="shared" si="19"/>
        <v>0</v>
      </c>
      <c r="G155" s="18" t="str">
        <f t="shared" si="21"/>
        <v>'</v>
      </c>
      <c r="H155" s="440"/>
      <c r="I155" s="18" t="str">
        <f t="shared" si="20"/>
        <v>'</v>
      </c>
    </row>
    <row r="156" spans="1:10">
      <c r="A156" s="77" t="s">
        <v>1969</v>
      </c>
      <c r="B156" s="37" t="str">
        <f>Language!A1579</f>
        <v>Clindamycin</v>
      </c>
      <c r="C156" s="27"/>
      <c r="F156" s="29">
        <f t="shared" si="19"/>
        <v>0</v>
      </c>
      <c r="G156" s="18" t="str">
        <f t="shared" si="21"/>
        <v>'</v>
      </c>
      <c r="H156" s="440"/>
      <c r="I156" s="18" t="str">
        <f t="shared" si="20"/>
        <v>'</v>
      </c>
    </row>
    <row r="157" spans="1:10">
      <c r="A157" s="77" t="s">
        <v>1970</v>
      </c>
      <c r="B157" s="37" t="str">
        <f>Language!A1580</f>
        <v>Macrolides (Erythromycin, Azithromycin, Clarithromycin)</v>
      </c>
      <c r="C157" s="27"/>
      <c r="F157" s="29">
        <f t="shared" si="19"/>
        <v>0</v>
      </c>
      <c r="G157" s="18" t="str">
        <f t="shared" si="21"/>
        <v>'</v>
      </c>
      <c r="H157" s="440"/>
      <c r="I157" s="18" t="str">
        <f t="shared" si="20"/>
        <v>'</v>
      </c>
    </row>
    <row r="158" spans="1:10">
      <c r="A158" s="77" t="s">
        <v>1971</v>
      </c>
      <c r="B158" s="37" t="str">
        <f>Language!A1581</f>
        <v>Tetracyclines (Tetracycline, Minocycline, Doxycycline)</v>
      </c>
      <c r="C158" s="27"/>
      <c r="F158" s="29">
        <f t="shared" si="19"/>
        <v>0</v>
      </c>
      <c r="G158" s="18" t="str">
        <f t="shared" si="21"/>
        <v>'</v>
      </c>
      <c r="H158" s="440"/>
      <c r="I158" s="18" t="str">
        <f t="shared" si="20"/>
        <v>'</v>
      </c>
    </row>
    <row r="159" spans="1:10">
      <c r="A159" s="77" t="s">
        <v>2348</v>
      </c>
      <c r="B159" s="37" t="str">
        <f>Language!A1582</f>
        <v>Fluoroquinolones (Ciprofloxacin, Levofloxacin, Moxifloxacin)</v>
      </c>
      <c r="C159" s="27"/>
      <c r="F159" s="29">
        <f t="shared" si="19"/>
        <v>0</v>
      </c>
      <c r="G159" s="18" t="str">
        <f t="shared" si="21"/>
        <v>'</v>
      </c>
      <c r="H159" s="440"/>
      <c r="I159" s="18" t="str">
        <f t="shared" si="20"/>
        <v>'</v>
      </c>
    </row>
    <row r="160" spans="1:10">
      <c r="A160" s="77" t="s">
        <v>2349</v>
      </c>
      <c r="B160" s="37" t="str">
        <f>Language!A1583</f>
        <v>Nitrofurantoin</v>
      </c>
      <c r="C160" s="27"/>
      <c r="F160" s="29">
        <f t="shared" si="19"/>
        <v>0</v>
      </c>
      <c r="G160" s="18" t="str">
        <f t="shared" si="21"/>
        <v>'</v>
      </c>
      <c r="H160" s="440"/>
      <c r="I160" s="18" t="str">
        <f t="shared" si="20"/>
        <v>'</v>
      </c>
    </row>
  </sheetData>
  <sheetProtection algorithmName="SHA-256" hashValue="PWzuzPKkGIfF67dJdWgwr5/A9ZscO2oJPSCTeDUdGHs=" saltValue="D1sqNo7QYNFD5xTwy81mIQ==" spinCount="100000" sheet="1" selectLockedCells="1"/>
  <mergeCells count="4">
    <mergeCell ref="B15:H15"/>
    <mergeCell ref="B16:H16"/>
    <mergeCell ref="B17:H17"/>
    <mergeCell ref="B18:H18"/>
  </mergeCells>
  <phoneticPr fontId="46" type="noConversion"/>
  <conditionalFormatting sqref="G121:G122 G77:G83 G5:G12">
    <cfRule type="cellIs" dxfId="564" priority="723" stopIfTrue="1" operator="lessThan">
      <formula>0.5</formula>
    </cfRule>
    <cfRule type="cellIs" dxfId="563" priority="724" stopIfTrue="1" operator="between">
      <formula>0.5</formula>
      <formula>0.75</formula>
    </cfRule>
    <cfRule type="cellIs" dxfId="562" priority="725" stopIfTrue="1" operator="greaterThan">
      <formula>0.75</formula>
    </cfRule>
  </conditionalFormatting>
  <conditionalFormatting sqref="G115 G124">
    <cfRule type="cellIs" dxfId="561" priority="729" stopIfTrue="1" operator="lessThan">
      <formula>0.5</formula>
    </cfRule>
    <cfRule type="cellIs" dxfId="560" priority="730" stopIfTrue="1" operator="between">
      <formula>0.5</formula>
      <formula>0.75</formula>
    </cfRule>
    <cfRule type="cellIs" dxfId="559" priority="731" stopIfTrue="1" operator="greaterThan">
      <formula>0.75</formula>
    </cfRule>
  </conditionalFormatting>
  <conditionalFormatting sqref="G149">
    <cfRule type="cellIs" dxfId="558" priority="714" stopIfTrue="1" operator="lessThan">
      <formula>0.5</formula>
    </cfRule>
    <cfRule type="cellIs" dxfId="557" priority="715" stopIfTrue="1" operator="between">
      <formula>0.5</formula>
      <formula>0.75</formula>
    </cfRule>
    <cfRule type="cellIs" dxfId="556" priority="716" stopIfTrue="1" operator="greaterThan">
      <formula>0.75</formula>
    </cfRule>
  </conditionalFormatting>
  <conditionalFormatting sqref="G22">
    <cfRule type="cellIs" dxfId="555" priority="408" stopIfTrue="1" operator="lessThan">
      <formula>0.5</formula>
    </cfRule>
    <cfRule type="cellIs" dxfId="554" priority="409" stopIfTrue="1" operator="between">
      <formula>0.5</formula>
      <formula>0.75</formula>
    </cfRule>
    <cfRule type="cellIs" dxfId="553" priority="410" stopIfTrue="1" operator="greaterThan">
      <formula>0.75</formula>
    </cfRule>
  </conditionalFormatting>
  <conditionalFormatting sqref="G13">
    <cfRule type="cellIs" dxfId="552" priority="348" stopIfTrue="1" operator="lessThan">
      <formula>0.5</formula>
    </cfRule>
    <cfRule type="cellIs" dxfId="551" priority="349" stopIfTrue="1" operator="between">
      <formula>0.5</formula>
      <formula>0.75</formula>
    </cfRule>
    <cfRule type="cellIs" dxfId="550" priority="350" stopIfTrue="1" operator="greaterThan">
      <formula>0.75</formula>
    </cfRule>
  </conditionalFormatting>
  <conditionalFormatting sqref="C3">
    <cfRule type="cellIs" dxfId="549" priority="414" stopIfTrue="1" operator="greaterThanOrEqual">
      <formula>0.8</formula>
    </cfRule>
    <cfRule type="cellIs" dxfId="548" priority="415" stopIfTrue="1" operator="between">
      <formula>0.5</formula>
      <formula>0.799</formula>
    </cfRule>
    <cfRule type="cellIs" dxfId="547" priority="416" stopIfTrue="1" operator="lessThan">
      <formula>0.5</formula>
    </cfRule>
  </conditionalFormatting>
  <conditionalFormatting sqref="G71">
    <cfRule type="cellIs" dxfId="546" priority="309" stopIfTrue="1" operator="lessThan">
      <formula>0.5</formula>
    </cfRule>
    <cfRule type="cellIs" dxfId="545" priority="310" stopIfTrue="1" operator="between">
      <formula>0.5</formula>
      <formula>0.75</formula>
    </cfRule>
    <cfRule type="cellIs" dxfId="544" priority="311" stopIfTrue="1" operator="greaterThan">
      <formula>0.75</formula>
    </cfRule>
  </conditionalFormatting>
  <conditionalFormatting sqref="G25">
    <cfRule type="cellIs" dxfId="543" priority="393" stopIfTrue="1" operator="lessThan">
      <formula>0.5</formula>
    </cfRule>
    <cfRule type="cellIs" dxfId="542" priority="394" stopIfTrue="1" operator="between">
      <formula>0.5</formula>
      <formula>0.75</formula>
    </cfRule>
    <cfRule type="cellIs" dxfId="541" priority="395" stopIfTrue="1" operator="greaterThan">
      <formula>0.75</formula>
    </cfRule>
  </conditionalFormatting>
  <conditionalFormatting sqref="G29">
    <cfRule type="cellIs" dxfId="540" priority="384" stopIfTrue="1" operator="lessThan">
      <formula>0.5</formula>
    </cfRule>
    <cfRule type="cellIs" dxfId="539" priority="385" stopIfTrue="1" operator="between">
      <formula>0.5</formula>
      <formula>0.75</formula>
    </cfRule>
    <cfRule type="cellIs" dxfId="538" priority="386" stopIfTrue="1" operator="greaterThan">
      <formula>0.75</formula>
    </cfRule>
  </conditionalFormatting>
  <conditionalFormatting sqref="G76 G94 G100 G104 G72">
    <cfRule type="cellIs" dxfId="537" priority="306" stopIfTrue="1" operator="lessThan">
      <formula>0.5</formula>
    </cfRule>
    <cfRule type="cellIs" dxfId="536" priority="307" stopIfTrue="1" operator="between">
      <formula>0.5</formula>
      <formula>0.75</formula>
    </cfRule>
    <cfRule type="cellIs" dxfId="535" priority="308" stopIfTrue="1" operator="greaterThan">
      <formula>0.75</formula>
    </cfRule>
  </conditionalFormatting>
  <conditionalFormatting sqref="G81:G83">
    <cfRule type="cellIs" dxfId="534" priority="297" stopIfTrue="1" operator="lessThan">
      <formula>0.5</formula>
    </cfRule>
    <cfRule type="cellIs" dxfId="533" priority="298" stopIfTrue="1" operator="between">
      <formula>0.5</formula>
      <formula>0.75</formula>
    </cfRule>
    <cfRule type="cellIs" dxfId="532" priority="299" stopIfTrue="1" operator="greaterThan">
      <formula>0.75</formula>
    </cfRule>
  </conditionalFormatting>
  <conditionalFormatting sqref="C41">
    <cfRule type="cellIs" dxfId="531" priority="411" stopIfTrue="1" operator="greaterThanOrEqual">
      <formula>0.8</formula>
    </cfRule>
    <cfRule type="cellIs" dxfId="530" priority="412" stopIfTrue="1" operator="between">
      <formula>0.5</formula>
      <formula>0.799</formula>
    </cfRule>
    <cfRule type="cellIs" dxfId="529" priority="413" stopIfTrue="1" operator="lessThan">
      <formula>0.5</formula>
    </cfRule>
  </conditionalFormatting>
  <conditionalFormatting sqref="G21:G39">
    <cfRule type="cellIs" dxfId="528" priority="402" stopIfTrue="1" operator="lessThan">
      <formula>0.5</formula>
    </cfRule>
    <cfRule type="cellIs" dxfId="527" priority="403" stopIfTrue="1" operator="between">
      <formula>0.5</formula>
      <formula>0.75</formula>
    </cfRule>
    <cfRule type="cellIs" dxfId="526" priority="404" stopIfTrue="1" operator="greaterThan">
      <formula>0.75</formula>
    </cfRule>
  </conditionalFormatting>
  <conditionalFormatting sqref="G24">
    <cfRule type="cellIs" dxfId="525" priority="396" stopIfTrue="1" operator="lessThan">
      <formula>0.5</formula>
    </cfRule>
    <cfRule type="cellIs" dxfId="524" priority="397" stopIfTrue="1" operator="between">
      <formula>0.5</formula>
      <formula>0.75</formula>
    </cfRule>
    <cfRule type="cellIs" dxfId="523" priority="398" stopIfTrue="1" operator="greaterThan">
      <formula>0.75</formula>
    </cfRule>
  </conditionalFormatting>
  <conditionalFormatting sqref="G32">
    <cfRule type="cellIs" dxfId="522" priority="375" stopIfTrue="1" operator="lessThan">
      <formula>0.5</formula>
    </cfRule>
    <cfRule type="cellIs" dxfId="521" priority="376" stopIfTrue="1" operator="between">
      <formula>0.5</formula>
      <formula>0.75</formula>
    </cfRule>
    <cfRule type="cellIs" dxfId="520" priority="377" stopIfTrue="1" operator="greaterThan">
      <formula>0.75</formula>
    </cfRule>
  </conditionalFormatting>
  <conditionalFormatting sqref="G39">
    <cfRule type="cellIs" dxfId="519" priority="354" stopIfTrue="1" operator="lessThan">
      <formula>0.5</formula>
    </cfRule>
    <cfRule type="cellIs" dxfId="518" priority="355" stopIfTrue="1" operator="between">
      <formula>0.5</formula>
      <formula>0.75</formula>
    </cfRule>
    <cfRule type="cellIs" dxfId="517" priority="356" stopIfTrue="1" operator="greaterThan">
      <formula>0.75</formula>
    </cfRule>
  </conditionalFormatting>
  <conditionalFormatting sqref="G54 G43:G48">
    <cfRule type="cellIs" dxfId="516" priority="351" stopIfTrue="1" operator="lessThan">
      <formula>0.5</formula>
    </cfRule>
    <cfRule type="cellIs" dxfId="515" priority="352" stopIfTrue="1" operator="between">
      <formula>0.5</formula>
      <formula>0.75</formula>
    </cfRule>
    <cfRule type="cellIs" dxfId="514" priority="353" stopIfTrue="1" operator="greaterThan">
      <formula>0.75</formula>
    </cfRule>
  </conditionalFormatting>
  <conditionalFormatting sqref="G56">
    <cfRule type="cellIs" dxfId="513" priority="324" stopIfTrue="1" operator="lessThan">
      <formula>0.5</formula>
    </cfRule>
    <cfRule type="cellIs" dxfId="512" priority="325" stopIfTrue="1" operator="between">
      <formula>0.5</formula>
      <formula>0.75</formula>
    </cfRule>
    <cfRule type="cellIs" dxfId="511" priority="326" stopIfTrue="1" operator="greaterThan">
      <formula>0.75</formula>
    </cfRule>
  </conditionalFormatting>
  <conditionalFormatting sqref="G33">
    <cfRule type="cellIs" dxfId="510" priority="372" stopIfTrue="1" operator="lessThan">
      <formula>0.5</formula>
    </cfRule>
    <cfRule type="cellIs" dxfId="509" priority="373" stopIfTrue="1" operator="between">
      <formula>0.5</formula>
      <formula>0.75</formula>
    </cfRule>
    <cfRule type="cellIs" dxfId="508" priority="374" stopIfTrue="1" operator="greaterThan">
      <formula>0.75</formula>
    </cfRule>
  </conditionalFormatting>
  <conditionalFormatting sqref="G44">
    <cfRule type="cellIs" dxfId="507" priority="345" stopIfTrue="1" operator="lessThan">
      <formula>0.5</formula>
    </cfRule>
    <cfRule type="cellIs" dxfId="506" priority="346" stopIfTrue="1" operator="between">
      <formula>0.5</formula>
      <formula>0.75</formula>
    </cfRule>
    <cfRule type="cellIs" dxfId="505" priority="347" stopIfTrue="1" operator="greaterThan">
      <formula>0.75</formula>
    </cfRule>
  </conditionalFormatting>
  <conditionalFormatting sqref="G61:G67">
    <cfRule type="cellIs" dxfId="504" priority="318" stopIfTrue="1" operator="lessThan">
      <formula>0.5</formula>
    </cfRule>
    <cfRule type="cellIs" dxfId="503" priority="319" stopIfTrue="1" operator="between">
      <formula>0.5</formula>
      <formula>0.75</formula>
    </cfRule>
    <cfRule type="cellIs" dxfId="502" priority="320" stopIfTrue="1" operator="greaterThan">
      <formula>0.75</formula>
    </cfRule>
  </conditionalFormatting>
  <conditionalFormatting sqref="G84:G85 G87:G91 G93:G96">
    <cfRule type="cellIs" dxfId="501" priority="291" stopIfTrue="1" operator="lessThan">
      <formula>0.5</formula>
    </cfRule>
    <cfRule type="cellIs" dxfId="500" priority="292" stopIfTrue="1" operator="between">
      <formula>0.5</formula>
      <formula>0.75</formula>
    </cfRule>
    <cfRule type="cellIs" dxfId="499" priority="293" stopIfTrue="1" operator="greaterThan">
      <formula>0.75</formula>
    </cfRule>
  </conditionalFormatting>
  <conditionalFormatting sqref="G34">
    <cfRule type="cellIs" dxfId="498" priority="369" stopIfTrue="1" operator="lessThan">
      <formula>0.5</formula>
    </cfRule>
    <cfRule type="cellIs" dxfId="497" priority="370" stopIfTrue="1" operator="between">
      <formula>0.5</formula>
      <formula>0.75</formula>
    </cfRule>
    <cfRule type="cellIs" dxfId="496" priority="371" stopIfTrue="1" operator="greaterThan">
      <formula>0.75</formula>
    </cfRule>
  </conditionalFormatting>
  <conditionalFormatting sqref="G45">
    <cfRule type="cellIs" dxfId="495" priority="342" stopIfTrue="1" operator="lessThan">
      <formula>0.5</formula>
    </cfRule>
    <cfRule type="cellIs" dxfId="494" priority="343" stopIfTrue="1" operator="between">
      <formula>0.5</formula>
      <formula>0.75</formula>
    </cfRule>
    <cfRule type="cellIs" dxfId="493" priority="344" stopIfTrue="1" operator="greaterThan">
      <formula>0.75</formula>
    </cfRule>
  </conditionalFormatting>
  <conditionalFormatting sqref="G68:G69">
    <cfRule type="cellIs" dxfId="492" priority="315" stopIfTrue="1" operator="lessThan">
      <formula>0.5</formula>
    </cfRule>
    <cfRule type="cellIs" dxfId="491" priority="316" stopIfTrue="1" operator="between">
      <formula>0.5</formula>
      <formula>0.75</formula>
    </cfRule>
    <cfRule type="cellIs" dxfId="490" priority="317" stopIfTrue="1" operator="greaterThan">
      <formula>0.75</formula>
    </cfRule>
  </conditionalFormatting>
  <conditionalFormatting sqref="G81:G83">
    <cfRule type="cellIs" dxfId="489" priority="294" stopIfTrue="1" operator="lessThan">
      <formula>0.5</formula>
    </cfRule>
    <cfRule type="cellIs" dxfId="488" priority="295" stopIfTrue="1" operator="between">
      <formula>0.5</formula>
      <formula>0.75</formula>
    </cfRule>
    <cfRule type="cellIs" dxfId="487" priority="296" stopIfTrue="1" operator="greaterThan">
      <formula>0.75</formula>
    </cfRule>
  </conditionalFormatting>
  <conditionalFormatting sqref="G111">
    <cfRule type="cellIs" dxfId="486" priority="231" stopIfTrue="1" operator="lessThan">
      <formula>0.5</formula>
    </cfRule>
    <cfRule type="cellIs" dxfId="485" priority="232" stopIfTrue="1" operator="between">
      <formula>0.5</formula>
      <formula>0.75</formula>
    </cfRule>
    <cfRule type="cellIs" dxfId="484" priority="233" stopIfTrue="1" operator="greaterThan">
      <formula>0.75</formula>
    </cfRule>
  </conditionalFormatting>
  <conditionalFormatting sqref="G28">
    <cfRule type="cellIs" dxfId="483" priority="405" stopIfTrue="1" operator="lessThan">
      <formula>0.5</formula>
    </cfRule>
    <cfRule type="cellIs" dxfId="482" priority="406" stopIfTrue="1" operator="between">
      <formula>0.5</formula>
      <formula>0.75</formula>
    </cfRule>
    <cfRule type="cellIs" dxfId="481" priority="407" stopIfTrue="1" operator="greaterThan">
      <formula>0.75</formula>
    </cfRule>
  </conditionalFormatting>
  <conditionalFormatting sqref="G90">
    <cfRule type="cellIs" dxfId="480" priority="276" stopIfTrue="1" operator="lessThan">
      <formula>0.5</formula>
    </cfRule>
    <cfRule type="cellIs" dxfId="479" priority="277" stopIfTrue="1" operator="between">
      <formula>0.5</formula>
      <formula>0.75</formula>
    </cfRule>
    <cfRule type="cellIs" dxfId="478" priority="278" stopIfTrue="1" operator="greaterThan">
      <formula>0.75</formula>
    </cfRule>
  </conditionalFormatting>
  <conditionalFormatting sqref="G38">
    <cfRule type="cellIs" dxfId="477" priority="357" stopIfTrue="1" operator="lessThan">
      <formula>0.5</formula>
    </cfRule>
    <cfRule type="cellIs" dxfId="476" priority="358" stopIfTrue="1" operator="between">
      <formula>0.5</formula>
      <formula>0.75</formula>
    </cfRule>
    <cfRule type="cellIs" dxfId="475" priority="359" stopIfTrue="1" operator="greaterThan">
      <formula>0.75</formula>
    </cfRule>
  </conditionalFormatting>
  <conditionalFormatting sqref="G107">
    <cfRule type="cellIs" dxfId="474" priority="237" stopIfTrue="1" operator="lessThan">
      <formula>0.5</formula>
    </cfRule>
    <cfRule type="cellIs" dxfId="473" priority="238" stopIfTrue="1" operator="between">
      <formula>0.5</formula>
      <formula>0.75</formula>
    </cfRule>
    <cfRule type="cellIs" dxfId="472" priority="239" stopIfTrue="1" operator="greaterThan">
      <formula>0.75</formula>
    </cfRule>
  </conditionalFormatting>
  <conditionalFormatting sqref="G87">
    <cfRule type="cellIs" dxfId="471" priority="285" stopIfTrue="1" operator="lessThan">
      <formula>0.5</formula>
    </cfRule>
    <cfRule type="cellIs" dxfId="470" priority="286" stopIfTrue="1" operator="between">
      <formula>0.5</formula>
      <formula>0.75</formula>
    </cfRule>
    <cfRule type="cellIs" dxfId="469" priority="287" stopIfTrue="1" operator="greaterThan">
      <formula>0.75</formula>
    </cfRule>
  </conditionalFormatting>
  <conditionalFormatting sqref="G27">
    <cfRule type="cellIs" dxfId="468" priority="387" stopIfTrue="1" operator="lessThan">
      <formula>0.5</formula>
    </cfRule>
    <cfRule type="cellIs" dxfId="467" priority="388" stopIfTrue="1" operator="between">
      <formula>0.5</formula>
      <formula>0.75</formula>
    </cfRule>
    <cfRule type="cellIs" dxfId="466" priority="389" stopIfTrue="1" operator="greaterThan">
      <formula>0.75</formula>
    </cfRule>
  </conditionalFormatting>
  <conditionalFormatting sqref="G30">
    <cfRule type="cellIs" dxfId="465" priority="381" stopIfTrue="1" operator="lessThan">
      <formula>0.5</formula>
    </cfRule>
    <cfRule type="cellIs" dxfId="464" priority="382" stopIfTrue="1" operator="between">
      <formula>0.5</formula>
      <formula>0.75</formula>
    </cfRule>
    <cfRule type="cellIs" dxfId="463" priority="383" stopIfTrue="1" operator="greaterThan">
      <formula>0.75</formula>
    </cfRule>
  </conditionalFormatting>
  <conditionalFormatting sqref="G23">
    <cfRule type="cellIs" dxfId="462" priority="399" stopIfTrue="1" operator="lessThan">
      <formula>0.5</formula>
    </cfRule>
    <cfRule type="cellIs" dxfId="461" priority="400" stopIfTrue="1" operator="between">
      <formula>0.5</formula>
      <formula>0.75</formula>
    </cfRule>
    <cfRule type="cellIs" dxfId="460" priority="401" stopIfTrue="1" operator="greaterThan">
      <formula>0.75</formula>
    </cfRule>
  </conditionalFormatting>
  <conditionalFormatting sqref="G118">
    <cfRule type="cellIs" dxfId="459" priority="213" stopIfTrue="1" operator="lessThan">
      <formula>0.5</formula>
    </cfRule>
    <cfRule type="cellIs" dxfId="458" priority="214" stopIfTrue="1" operator="between">
      <formula>0.5</formula>
      <formula>0.75</formula>
    </cfRule>
    <cfRule type="cellIs" dxfId="457" priority="215" stopIfTrue="1" operator="greaterThan">
      <formula>0.75</formula>
    </cfRule>
  </conditionalFormatting>
  <conditionalFormatting sqref="G26">
    <cfRule type="cellIs" dxfId="456" priority="390" stopIfTrue="1" operator="lessThan">
      <formula>0.5</formula>
    </cfRule>
    <cfRule type="cellIs" dxfId="455" priority="391" stopIfTrue="1" operator="between">
      <formula>0.5</formula>
      <formula>0.75</formula>
    </cfRule>
    <cfRule type="cellIs" dxfId="454" priority="392" stopIfTrue="1" operator="greaterThan">
      <formula>0.75</formula>
    </cfRule>
  </conditionalFormatting>
  <conditionalFormatting sqref="G36">
    <cfRule type="cellIs" dxfId="453" priority="363" stopIfTrue="1" operator="lessThan">
      <formula>0.5</formula>
    </cfRule>
    <cfRule type="cellIs" dxfId="452" priority="364" stopIfTrue="1" operator="between">
      <formula>0.5</formula>
      <formula>0.75</formula>
    </cfRule>
    <cfRule type="cellIs" dxfId="451" priority="365" stopIfTrue="1" operator="greaterThan">
      <formula>0.75</formula>
    </cfRule>
  </conditionalFormatting>
  <conditionalFormatting sqref="G31">
    <cfRule type="cellIs" dxfId="450" priority="378" stopIfTrue="1" operator="lessThan">
      <formula>0.5</formula>
    </cfRule>
    <cfRule type="cellIs" dxfId="449" priority="379" stopIfTrue="1" operator="between">
      <formula>0.5</formula>
      <formula>0.75</formula>
    </cfRule>
    <cfRule type="cellIs" dxfId="448" priority="380" stopIfTrue="1" operator="greaterThan">
      <formula>0.75</formula>
    </cfRule>
  </conditionalFormatting>
  <conditionalFormatting sqref="G35">
    <cfRule type="cellIs" dxfId="447" priority="366" stopIfTrue="1" operator="lessThan">
      <formula>0.5</formula>
    </cfRule>
    <cfRule type="cellIs" dxfId="446" priority="367" stopIfTrue="1" operator="between">
      <formula>0.5</formula>
      <formula>0.75</formula>
    </cfRule>
    <cfRule type="cellIs" dxfId="445" priority="368" stopIfTrue="1" operator="greaterThan">
      <formula>0.75</formula>
    </cfRule>
  </conditionalFormatting>
  <conditionalFormatting sqref="G52">
    <cfRule type="cellIs" dxfId="444" priority="333" stopIfTrue="1" operator="lessThan">
      <formula>0.5</formula>
    </cfRule>
    <cfRule type="cellIs" dxfId="443" priority="334" stopIfTrue="1" operator="between">
      <formula>0.5</formula>
      <formula>0.75</formula>
    </cfRule>
    <cfRule type="cellIs" dxfId="442" priority="335" stopIfTrue="1" operator="greaterThan">
      <formula>0.75</formula>
    </cfRule>
  </conditionalFormatting>
  <conditionalFormatting sqref="G37">
    <cfRule type="cellIs" dxfId="441" priority="360" stopIfTrue="1" operator="lessThan">
      <formula>0.5</formula>
    </cfRule>
    <cfRule type="cellIs" dxfId="440" priority="361" stopIfTrue="1" operator="between">
      <formula>0.5</formula>
      <formula>0.75</formula>
    </cfRule>
    <cfRule type="cellIs" dxfId="439" priority="362" stopIfTrue="1" operator="greaterThan">
      <formula>0.75</formula>
    </cfRule>
  </conditionalFormatting>
  <conditionalFormatting sqref="G105:G106">
    <cfRule type="cellIs" dxfId="438" priority="243" stopIfTrue="1" operator="lessThan">
      <formula>0.5</formula>
    </cfRule>
    <cfRule type="cellIs" dxfId="437" priority="244" stopIfTrue="1" operator="between">
      <formula>0.5</formula>
      <formula>0.75</formula>
    </cfRule>
    <cfRule type="cellIs" dxfId="436" priority="245" stopIfTrue="1" operator="greaterThan">
      <formula>0.75</formula>
    </cfRule>
  </conditionalFormatting>
  <conditionalFormatting sqref="G101">
    <cfRule type="cellIs" dxfId="435" priority="252" stopIfTrue="1" operator="lessThan">
      <formula>0.5</formula>
    </cfRule>
    <cfRule type="cellIs" dxfId="434" priority="253" stopIfTrue="1" operator="between">
      <formula>0.5</formula>
      <formula>0.75</formula>
    </cfRule>
    <cfRule type="cellIs" dxfId="433" priority="254" stopIfTrue="1" operator="greaterThan">
      <formula>0.75</formula>
    </cfRule>
  </conditionalFormatting>
  <conditionalFormatting sqref="G58">
    <cfRule type="cellIs" dxfId="432" priority="321" stopIfTrue="1" operator="lessThan">
      <formula>0.5</formula>
    </cfRule>
    <cfRule type="cellIs" dxfId="431" priority="322" stopIfTrue="1" operator="between">
      <formula>0.5</formula>
      <formula>0.75</formula>
    </cfRule>
    <cfRule type="cellIs" dxfId="430" priority="323" stopIfTrue="1" operator="greaterThan">
      <formula>0.75</formula>
    </cfRule>
  </conditionalFormatting>
  <conditionalFormatting sqref="G53">
    <cfRule type="cellIs" dxfId="429" priority="330" stopIfTrue="1" operator="lessThan">
      <formula>0.5</formula>
    </cfRule>
    <cfRule type="cellIs" dxfId="428" priority="331" stopIfTrue="1" operator="between">
      <formula>0.5</formula>
      <formula>0.75</formula>
    </cfRule>
    <cfRule type="cellIs" dxfId="427" priority="332" stopIfTrue="1" operator="greaterThan">
      <formula>0.75</formula>
    </cfRule>
  </conditionalFormatting>
  <conditionalFormatting sqref="G69:G70">
    <cfRule type="cellIs" dxfId="426" priority="312" stopIfTrue="1" operator="lessThan">
      <formula>0.5</formula>
    </cfRule>
    <cfRule type="cellIs" dxfId="425" priority="313" stopIfTrue="1" operator="between">
      <formula>0.5</formula>
      <formula>0.75</formula>
    </cfRule>
    <cfRule type="cellIs" dxfId="424" priority="314" stopIfTrue="1" operator="greaterThan">
      <formula>0.75</formula>
    </cfRule>
  </conditionalFormatting>
  <conditionalFormatting sqref="G91">
    <cfRule type="cellIs" dxfId="423" priority="273" stopIfTrue="1" operator="lessThan">
      <formula>0.5</formula>
    </cfRule>
    <cfRule type="cellIs" dxfId="422" priority="274" stopIfTrue="1" operator="between">
      <formula>0.5</formula>
      <formula>0.75</formula>
    </cfRule>
    <cfRule type="cellIs" dxfId="421" priority="275" stopIfTrue="1" operator="greaterThan">
      <formula>0.75</formula>
    </cfRule>
  </conditionalFormatting>
  <conditionalFormatting sqref="G51:G53">
    <cfRule type="cellIs" dxfId="420" priority="336" stopIfTrue="1" operator="lessThan">
      <formula>0.5</formula>
    </cfRule>
    <cfRule type="cellIs" dxfId="419" priority="337" stopIfTrue="1" operator="between">
      <formula>0.5</formula>
      <formula>0.75</formula>
    </cfRule>
    <cfRule type="cellIs" dxfId="418" priority="338" stopIfTrue="1" operator="greaterThan">
      <formula>0.75</formula>
    </cfRule>
  </conditionalFormatting>
  <conditionalFormatting sqref="G96">
    <cfRule type="cellIs" dxfId="417" priority="264" stopIfTrue="1" operator="lessThan">
      <formula>0.5</formula>
    </cfRule>
    <cfRule type="cellIs" dxfId="416" priority="265" stopIfTrue="1" operator="between">
      <formula>0.5</formula>
      <formula>0.75</formula>
    </cfRule>
    <cfRule type="cellIs" dxfId="415" priority="266" stopIfTrue="1" operator="greaterThan">
      <formula>0.75</formula>
    </cfRule>
  </conditionalFormatting>
  <conditionalFormatting sqref="C55">
    <cfRule type="cellIs" dxfId="414" priority="327" stopIfTrue="1" operator="greaterThanOrEqual">
      <formula>0.8</formula>
    </cfRule>
    <cfRule type="cellIs" dxfId="413" priority="328" stopIfTrue="1" operator="between">
      <formula>0.5</formula>
      <formula>0.799</formula>
    </cfRule>
    <cfRule type="cellIs" dxfId="412" priority="329" stopIfTrue="1" operator="lessThan">
      <formula>0.5</formula>
    </cfRule>
  </conditionalFormatting>
  <conditionalFormatting sqref="G109">
    <cfRule type="cellIs" dxfId="411" priority="234" stopIfTrue="1" operator="lessThan">
      <formula>0.5</formula>
    </cfRule>
    <cfRule type="cellIs" dxfId="410" priority="235" stopIfTrue="1" operator="between">
      <formula>0.5</formula>
      <formula>0.75</formula>
    </cfRule>
    <cfRule type="cellIs" dxfId="409" priority="236" stopIfTrue="1" operator="greaterThan">
      <formula>0.75</formula>
    </cfRule>
  </conditionalFormatting>
  <conditionalFormatting sqref="G88">
    <cfRule type="cellIs" dxfId="408" priority="282" stopIfTrue="1" operator="lessThan">
      <formula>0.5</formula>
    </cfRule>
    <cfRule type="cellIs" dxfId="407" priority="283" stopIfTrue="1" operator="between">
      <formula>0.5</formula>
      <formula>0.75</formula>
    </cfRule>
    <cfRule type="cellIs" dxfId="406" priority="284" stopIfTrue="1" operator="greaterThan">
      <formula>0.75</formula>
    </cfRule>
  </conditionalFormatting>
  <conditionalFormatting sqref="G103">
    <cfRule type="cellIs" dxfId="405" priority="246" stopIfTrue="1" operator="lessThan">
      <formula>0.5</formula>
    </cfRule>
    <cfRule type="cellIs" dxfId="404" priority="247" stopIfTrue="1" operator="between">
      <formula>0.5</formula>
      <formula>0.75</formula>
    </cfRule>
    <cfRule type="cellIs" dxfId="403" priority="248" stopIfTrue="1" operator="greaterThan">
      <formula>0.75</formula>
    </cfRule>
  </conditionalFormatting>
  <conditionalFormatting sqref="G114">
    <cfRule type="cellIs" dxfId="402" priority="222" stopIfTrue="1" operator="lessThan">
      <formula>0.5</formula>
    </cfRule>
    <cfRule type="cellIs" dxfId="401" priority="223" stopIfTrue="1" operator="between">
      <formula>0.5</formula>
      <formula>0.75</formula>
    </cfRule>
    <cfRule type="cellIs" dxfId="400" priority="224" stopIfTrue="1" operator="greaterThan">
      <formula>0.75</formula>
    </cfRule>
  </conditionalFormatting>
  <conditionalFormatting sqref="C74">
    <cfRule type="cellIs" dxfId="399" priority="303" stopIfTrue="1" operator="greaterThanOrEqual">
      <formula>0.8</formula>
    </cfRule>
    <cfRule type="cellIs" dxfId="398" priority="304" stopIfTrue="1" operator="between">
      <formula>0.5</formula>
      <formula>0.799</formula>
    </cfRule>
    <cfRule type="cellIs" dxfId="397" priority="305" stopIfTrue="1" operator="lessThan">
      <formula>0.5</formula>
    </cfRule>
  </conditionalFormatting>
  <conditionalFormatting sqref="G106">
    <cfRule type="cellIs" dxfId="396" priority="240" stopIfTrue="1" operator="lessThan">
      <formula>0.5</formula>
    </cfRule>
    <cfRule type="cellIs" dxfId="395" priority="241" stopIfTrue="1" operator="between">
      <formula>0.5</formula>
      <formula>0.75</formula>
    </cfRule>
    <cfRule type="cellIs" dxfId="394" priority="242" stopIfTrue="1" operator="greaterThan">
      <formula>0.75</formula>
    </cfRule>
  </conditionalFormatting>
  <conditionalFormatting sqref="G119">
    <cfRule type="cellIs" dxfId="393" priority="210" stopIfTrue="1" operator="lessThan">
      <formula>0.5</formula>
    </cfRule>
    <cfRule type="cellIs" dxfId="392" priority="211" stopIfTrue="1" operator="between">
      <formula>0.5</formula>
      <formula>0.75</formula>
    </cfRule>
    <cfRule type="cellIs" dxfId="391" priority="212" stopIfTrue="1" operator="greaterThan">
      <formula>0.75</formula>
    </cfRule>
  </conditionalFormatting>
  <conditionalFormatting sqref="G89">
    <cfRule type="cellIs" dxfId="390" priority="279" stopIfTrue="1" operator="lessThan">
      <formula>0.5</formula>
    </cfRule>
    <cfRule type="cellIs" dxfId="389" priority="280" stopIfTrue="1" operator="between">
      <formula>0.5</formula>
      <formula>0.75</formula>
    </cfRule>
    <cfRule type="cellIs" dxfId="388" priority="281" stopIfTrue="1" operator="greaterThan">
      <formula>0.75</formula>
    </cfRule>
  </conditionalFormatting>
  <conditionalFormatting sqref="G85">
    <cfRule type="cellIs" dxfId="387" priority="288" stopIfTrue="1" operator="lessThan">
      <formula>0.5</formula>
    </cfRule>
    <cfRule type="cellIs" dxfId="386" priority="289" stopIfTrue="1" operator="between">
      <formula>0.5</formula>
      <formula>0.75</formula>
    </cfRule>
    <cfRule type="cellIs" dxfId="385" priority="290" stopIfTrue="1" operator="greaterThan">
      <formula>0.75</formula>
    </cfRule>
  </conditionalFormatting>
  <conditionalFormatting sqref="G93">
    <cfRule type="cellIs" dxfId="384" priority="270" stopIfTrue="1" operator="lessThan">
      <formula>0.5</formula>
    </cfRule>
    <cfRule type="cellIs" dxfId="383" priority="271" stopIfTrue="1" operator="between">
      <formula>0.5</formula>
      <formula>0.75</formula>
    </cfRule>
    <cfRule type="cellIs" dxfId="382" priority="272" stopIfTrue="1" operator="greaterThan">
      <formula>0.75</formula>
    </cfRule>
  </conditionalFormatting>
  <conditionalFormatting sqref="G112">
    <cfRule type="cellIs" dxfId="381" priority="228" stopIfTrue="1" operator="lessThan">
      <formula>0.5</formula>
    </cfRule>
    <cfRule type="cellIs" dxfId="380" priority="229" stopIfTrue="1" operator="between">
      <formula>0.5</formula>
      <formula>0.75</formula>
    </cfRule>
    <cfRule type="cellIs" dxfId="379" priority="230" stopIfTrue="1" operator="greaterThan">
      <formula>0.75</formula>
    </cfRule>
  </conditionalFormatting>
  <conditionalFormatting sqref="G95">
    <cfRule type="cellIs" dxfId="378" priority="267" stopIfTrue="1" operator="lessThan">
      <formula>0.5</formula>
    </cfRule>
    <cfRule type="cellIs" dxfId="377" priority="268" stopIfTrue="1" operator="between">
      <formula>0.5</formula>
      <formula>0.75</formula>
    </cfRule>
    <cfRule type="cellIs" dxfId="376" priority="269" stopIfTrue="1" operator="greaterThan">
      <formula>0.75</formula>
    </cfRule>
  </conditionalFormatting>
  <conditionalFormatting sqref="G97">
    <cfRule type="cellIs" dxfId="375" priority="261" stopIfTrue="1" operator="lessThan">
      <formula>0.5</formula>
    </cfRule>
    <cfRule type="cellIs" dxfId="374" priority="262" stopIfTrue="1" operator="between">
      <formula>0.5</formula>
      <formula>0.75</formula>
    </cfRule>
    <cfRule type="cellIs" dxfId="373" priority="263" stopIfTrue="1" operator="greaterThan">
      <formula>0.75</formula>
    </cfRule>
  </conditionalFormatting>
  <conditionalFormatting sqref="C98">
    <cfRule type="cellIs" dxfId="372" priority="258" stopIfTrue="1" operator="greaterThanOrEqual">
      <formula>0.8</formula>
    </cfRule>
    <cfRule type="cellIs" dxfId="371" priority="259" stopIfTrue="1" operator="between">
      <formula>0.5</formula>
      <formula>0.799</formula>
    </cfRule>
    <cfRule type="cellIs" dxfId="370" priority="260" stopIfTrue="1" operator="lessThan">
      <formula>0.5</formula>
    </cfRule>
  </conditionalFormatting>
  <conditionalFormatting sqref="G102">
    <cfRule type="cellIs" dxfId="369" priority="249" stopIfTrue="1" operator="lessThan">
      <formula>0.5</formula>
    </cfRule>
    <cfRule type="cellIs" dxfId="368" priority="250" stopIfTrue="1" operator="between">
      <formula>0.5</formula>
      <formula>0.75</formula>
    </cfRule>
    <cfRule type="cellIs" dxfId="367" priority="251" stopIfTrue="1" operator="greaterThan">
      <formula>0.75</formula>
    </cfRule>
  </conditionalFormatting>
  <conditionalFormatting sqref="C113">
    <cfRule type="cellIs" dxfId="366" priority="225" stopIfTrue="1" operator="greaterThanOrEqual">
      <formula>0.8</formula>
    </cfRule>
    <cfRule type="cellIs" dxfId="365" priority="226" stopIfTrue="1" operator="between">
      <formula>0.5</formula>
      <formula>0.799</formula>
    </cfRule>
    <cfRule type="cellIs" dxfId="364" priority="227" stopIfTrue="1" operator="lessThan">
      <formula>0.5</formula>
    </cfRule>
  </conditionalFormatting>
  <conditionalFormatting sqref="G116:G119">
    <cfRule type="cellIs" dxfId="363" priority="219" stopIfTrue="1" operator="lessThan">
      <formula>0.5</formula>
    </cfRule>
    <cfRule type="cellIs" dxfId="362" priority="220" stopIfTrue="1" operator="between">
      <formula>0.5</formula>
      <formula>0.75</formula>
    </cfRule>
    <cfRule type="cellIs" dxfId="361" priority="221" stopIfTrue="1" operator="greaterThan">
      <formula>0.75</formula>
    </cfRule>
  </conditionalFormatting>
  <conditionalFormatting sqref="G117">
    <cfRule type="cellIs" dxfId="360" priority="216" stopIfTrue="1" operator="lessThan">
      <formula>0.5</formula>
    </cfRule>
    <cfRule type="cellIs" dxfId="359" priority="217" stopIfTrue="1" operator="between">
      <formula>0.5</formula>
      <formula>0.75</formula>
    </cfRule>
    <cfRule type="cellIs" dxfId="358" priority="218" stopIfTrue="1" operator="greaterThan">
      <formula>0.75</formula>
    </cfRule>
  </conditionalFormatting>
  <conditionalFormatting sqref="G120">
    <cfRule type="cellIs" dxfId="357" priority="207" stopIfTrue="1" operator="lessThan">
      <formula>0.5</formula>
    </cfRule>
    <cfRule type="cellIs" dxfId="356" priority="208" stopIfTrue="1" operator="between">
      <formula>0.5</formula>
      <formula>0.75</formula>
    </cfRule>
    <cfRule type="cellIs" dxfId="355" priority="209" stopIfTrue="1" operator="greaterThan">
      <formula>0.75</formula>
    </cfRule>
  </conditionalFormatting>
  <conditionalFormatting sqref="G141">
    <cfRule type="cellIs" dxfId="354" priority="159" stopIfTrue="1" operator="lessThan">
      <formula>0.5</formula>
    </cfRule>
    <cfRule type="cellIs" dxfId="353" priority="160" stopIfTrue="1" operator="between">
      <formula>0.5</formula>
      <formula>0.75</formula>
    </cfRule>
    <cfRule type="cellIs" dxfId="352" priority="161" stopIfTrue="1" operator="greaterThan">
      <formula>0.75</formula>
    </cfRule>
  </conditionalFormatting>
  <conditionalFormatting sqref="C142">
    <cfRule type="cellIs" dxfId="351" priority="156" stopIfTrue="1" operator="greaterThanOrEqual">
      <formula>0.8</formula>
    </cfRule>
    <cfRule type="cellIs" dxfId="350" priority="157" stopIfTrue="1" operator="between">
      <formula>0.5</formula>
      <formula>0.799</formula>
    </cfRule>
    <cfRule type="cellIs" dxfId="349" priority="158" stopIfTrue="1" operator="lessThan">
      <formula>0.5</formula>
    </cfRule>
  </conditionalFormatting>
  <conditionalFormatting sqref="G149 G124 G135 G141:G142 G161:G1048576 G20:G39 G43:G48 G51:G72 G74 G87:G91 G93:G98 G41 G100:G122 G76:G85 G1:G14">
    <cfRule type="containsText" dxfId="348" priority="152" stopIfTrue="1" operator="containsText" text="RED FLAG">
      <formula>NOT(ISERROR(SEARCH("RED FLAG",G1)))</formula>
    </cfRule>
  </conditionalFormatting>
  <conditionalFormatting sqref="I61">
    <cfRule type="cellIs" dxfId="347" priority="118" stopIfTrue="1" operator="lessThan">
      <formula>0.5</formula>
    </cfRule>
    <cfRule type="cellIs" dxfId="346" priority="119" stopIfTrue="1" operator="between">
      <formula>0.5</formula>
      <formula>0.75</formula>
    </cfRule>
    <cfRule type="cellIs" dxfId="345" priority="120" stopIfTrue="1" operator="greaterThan">
      <formula>0.75</formula>
    </cfRule>
  </conditionalFormatting>
  <conditionalFormatting sqref="I61">
    <cfRule type="containsText" dxfId="344" priority="117" stopIfTrue="1" operator="containsText" text="RED FLAG">
      <formula>NOT(ISERROR(SEARCH("RED FLAG",I61)))</formula>
    </cfRule>
  </conditionalFormatting>
  <conditionalFormatting sqref="I102">
    <cfRule type="cellIs" dxfId="343" priority="114" stopIfTrue="1" operator="lessThan">
      <formula>0.5</formula>
    </cfRule>
    <cfRule type="cellIs" dxfId="342" priority="115" stopIfTrue="1" operator="between">
      <formula>0.5</formula>
      <formula>0.75</formula>
    </cfRule>
    <cfRule type="cellIs" dxfId="341" priority="116" stopIfTrue="1" operator="greaterThan">
      <formula>0.75</formula>
    </cfRule>
  </conditionalFormatting>
  <conditionalFormatting sqref="I102">
    <cfRule type="containsText" dxfId="340" priority="113" stopIfTrue="1" operator="containsText" text="RED FLAG">
      <formula>NOT(ISERROR(SEARCH("RED FLAG",I102)))</formula>
    </cfRule>
  </conditionalFormatting>
  <conditionalFormatting sqref="I105:I106">
    <cfRule type="cellIs" dxfId="339" priority="110" stopIfTrue="1" operator="lessThan">
      <formula>0.5</formula>
    </cfRule>
    <cfRule type="cellIs" dxfId="338" priority="111" stopIfTrue="1" operator="between">
      <formula>0.5</formula>
      <formula>0.75</formula>
    </cfRule>
    <cfRule type="cellIs" dxfId="337" priority="112" stopIfTrue="1" operator="greaterThan">
      <formula>0.75</formula>
    </cfRule>
  </conditionalFormatting>
  <conditionalFormatting sqref="I105:I106">
    <cfRule type="containsText" dxfId="336" priority="109" stopIfTrue="1" operator="containsText" text="RED FLAG">
      <formula>NOT(ISERROR(SEARCH("RED FLAG",I105)))</formula>
    </cfRule>
  </conditionalFormatting>
  <conditionalFormatting sqref="G143">
    <cfRule type="cellIs" dxfId="335" priority="106" stopIfTrue="1" operator="lessThan">
      <formula>0.5</formula>
    </cfRule>
    <cfRule type="cellIs" dxfId="334" priority="107" stopIfTrue="1" operator="between">
      <formula>0.5</formula>
      <formula>0.75</formula>
    </cfRule>
    <cfRule type="cellIs" dxfId="333" priority="108" stopIfTrue="1" operator="greaterThan">
      <formula>0.75</formula>
    </cfRule>
  </conditionalFormatting>
  <conditionalFormatting sqref="G143">
    <cfRule type="containsText" dxfId="332" priority="105" stopIfTrue="1" operator="containsText" text="RED FLAG">
      <formula>NOT(ISERROR(SEARCH("RED FLAG",G143)))</formula>
    </cfRule>
  </conditionalFormatting>
  <conditionalFormatting sqref="G61:G67">
    <cfRule type="cellIs" dxfId="331" priority="102" stopIfTrue="1" operator="lessThan">
      <formula>0.5</formula>
    </cfRule>
    <cfRule type="cellIs" dxfId="330" priority="103" stopIfTrue="1" operator="between">
      <formula>0.5</formula>
      <formula>0.75</formula>
    </cfRule>
    <cfRule type="cellIs" dxfId="329" priority="104" stopIfTrue="1" operator="greaterThan">
      <formula>0.75</formula>
    </cfRule>
  </conditionalFormatting>
  <conditionalFormatting sqref="I77:I80">
    <cfRule type="cellIs" dxfId="328" priority="95" stopIfTrue="1" operator="lessThan">
      <formula>0.5</formula>
    </cfRule>
    <cfRule type="cellIs" dxfId="327" priority="96" stopIfTrue="1" operator="between">
      <formula>0.5</formula>
      <formula>0.75</formula>
    </cfRule>
    <cfRule type="cellIs" dxfId="326" priority="97" stopIfTrue="1" operator="greaterThan">
      <formula>0.75</formula>
    </cfRule>
  </conditionalFormatting>
  <conditionalFormatting sqref="I77:I80">
    <cfRule type="containsText" dxfId="325" priority="94" stopIfTrue="1" operator="containsText" text="RED FLAG">
      <formula>NOT(ISERROR(SEARCH("RED FLAG",I77)))</formula>
    </cfRule>
  </conditionalFormatting>
  <conditionalFormatting sqref="C13">
    <cfRule type="cellIs" dxfId="324" priority="91" stopIfTrue="1" operator="greaterThanOrEqual">
      <formula>0.8</formula>
    </cfRule>
    <cfRule type="cellIs" dxfId="323" priority="92" stopIfTrue="1" operator="between">
      <formula>0.5</formula>
      <formula>0.799</formula>
    </cfRule>
    <cfRule type="cellIs" dxfId="322" priority="93" stopIfTrue="1" operator="lessThan">
      <formula>0.5</formula>
    </cfRule>
  </conditionalFormatting>
  <conditionalFormatting sqref="C122">
    <cfRule type="cellIs" dxfId="321" priority="84" stopIfTrue="1" operator="greaterThanOrEqual">
      <formula>0.8</formula>
    </cfRule>
    <cfRule type="cellIs" dxfId="320" priority="85" stopIfTrue="1" operator="between">
      <formula>0.5</formula>
      <formula>0.799</formula>
    </cfRule>
    <cfRule type="cellIs" dxfId="319" priority="86" stopIfTrue="1" operator="lessThan">
      <formula>0.5</formula>
    </cfRule>
  </conditionalFormatting>
  <conditionalFormatting sqref="G123">
    <cfRule type="cellIs" dxfId="318" priority="81" stopIfTrue="1" operator="lessThan">
      <formula>0.5</formula>
    </cfRule>
    <cfRule type="cellIs" dxfId="317" priority="82" stopIfTrue="1" operator="between">
      <formula>0.5</formula>
      <formula>0.75</formula>
    </cfRule>
    <cfRule type="cellIs" dxfId="316" priority="83" stopIfTrue="1" operator="greaterThan">
      <formula>0.75</formula>
    </cfRule>
  </conditionalFormatting>
  <conditionalFormatting sqref="G123">
    <cfRule type="containsText" dxfId="315" priority="80" stopIfTrue="1" operator="containsText" text="RED FLAG">
      <formula>NOT(ISERROR(SEARCH("RED FLAG",G123)))</formula>
    </cfRule>
  </conditionalFormatting>
  <conditionalFormatting sqref="G144:G148">
    <cfRule type="cellIs" dxfId="314" priority="77" stopIfTrue="1" operator="lessThan">
      <formula>0.5</formula>
    </cfRule>
    <cfRule type="cellIs" dxfId="313" priority="78" stopIfTrue="1" operator="between">
      <formula>0.5</formula>
      <formula>0.75</formula>
    </cfRule>
    <cfRule type="cellIs" dxfId="312" priority="79" stopIfTrue="1" operator="greaterThan">
      <formula>0.75</formula>
    </cfRule>
  </conditionalFormatting>
  <conditionalFormatting sqref="G144:G148">
    <cfRule type="containsText" dxfId="311" priority="76" stopIfTrue="1" operator="containsText" text="RED FLAG">
      <formula>NOT(ISERROR(SEARCH("RED FLAG",G144)))</formula>
    </cfRule>
  </conditionalFormatting>
  <conditionalFormatting sqref="G125:G134">
    <cfRule type="cellIs" dxfId="310" priority="73" stopIfTrue="1" operator="lessThan">
      <formula>0.5</formula>
    </cfRule>
    <cfRule type="cellIs" dxfId="309" priority="74" stopIfTrue="1" operator="between">
      <formula>0.5</formula>
      <formula>0.75</formula>
    </cfRule>
    <cfRule type="cellIs" dxfId="308" priority="75" stopIfTrue="1" operator="greaterThan">
      <formula>0.75</formula>
    </cfRule>
  </conditionalFormatting>
  <conditionalFormatting sqref="G125:G134">
    <cfRule type="containsText" dxfId="307" priority="72" stopIfTrue="1" operator="containsText" text="RED FLAG">
      <formula>NOT(ISERROR(SEARCH("RED FLAG",G125)))</formula>
    </cfRule>
  </conditionalFormatting>
  <conditionalFormatting sqref="G136:G140">
    <cfRule type="cellIs" dxfId="306" priority="69" stopIfTrue="1" operator="lessThan">
      <formula>0.5</formula>
    </cfRule>
    <cfRule type="cellIs" dxfId="305" priority="70" stopIfTrue="1" operator="between">
      <formula>0.5</formula>
      <formula>0.75</formula>
    </cfRule>
    <cfRule type="cellIs" dxfId="304" priority="71" stopIfTrue="1" operator="greaterThan">
      <formula>0.75</formula>
    </cfRule>
  </conditionalFormatting>
  <conditionalFormatting sqref="G136:G140">
    <cfRule type="containsText" dxfId="303" priority="68" stopIfTrue="1" operator="containsText" text="RED FLAG">
      <formula>NOT(ISERROR(SEARCH("RED FLAG",G136)))</formula>
    </cfRule>
  </conditionalFormatting>
  <conditionalFormatting sqref="G99">
    <cfRule type="cellIs" dxfId="302" priority="65" stopIfTrue="1" operator="lessThan">
      <formula>0.5</formula>
    </cfRule>
    <cfRule type="cellIs" dxfId="301" priority="66" stopIfTrue="1" operator="between">
      <formula>0.5</formula>
      <formula>0.75</formula>
    </cfRule>
    <cfRule type="cellIs" dxfId="300" priority="67" stopIfTrue="1" operator="greaterThan">
      <formula>0.75</formula>
    </cfRule>
  </conditionalFormatting>
  <conditionalFormatting sqref="G99">
    <cfRule type="containsText" dxfId="299" priority="64" stopIfTrue="1" operator="containsText" text="RED FLAG">
      <formula>NOT(ISERROR(SEARCH("RED FLAG",G99)))</formula>
    </cfRule>
  </conditionalFormatting>
  <conditionalFormatting sqref="G151:G152">
    <cfRule type="containsText" dxfId="298" priority="63" stopIfTrue="1" operator="containsText" text="RED FLAG">
      <formula>NOT(ISERROR(SEARCH("RED FLAG",G151)))</formula>
    </cfRule>
  </conditionalFormatting>
  <conditionalFormatting sqref="G153:G160">
    <cfRule type="cellIs" dxfId="297" priority="60" stopIfTrue="1" operator="lessThan">
      <formula>0.5</formula>
    </cfRule>
    <cfRule type="cellIs" dxfId="296" priority="61" stopIfTrue="1" operator="between">
      <formula>0.5</formula>
      <formula>0.75</formula>
    </cfRule>
    <cfRule type="cellIs" dxfId="295" priority="62" stopIfTrue="1" operator="greaterThan">
      <formula>0.75</formula>
    </cfRule>
  </conditionalFormatting>
  <conditionalFormatting sqref="G153:G160">
    <cfRule type="containsText" dxfId="294" priority="59" stopIfTrue="1" operator="containsText" text="RED FLAG">
      <formula>NOT(ISERROR(SEARCH("RED FLAG",G153)))</formula>
    </cfRule>
  </conditionalFormatting>
  <conditionalFormatting sqref="I153:I160">
    <cfRule type="cellIs" dxfId="293" priority="56" stopIfTrue="1" operator="lessThan">
      <formula>0.5</formula>
    </cfRule>
    <cfRule type="cellIs" dxfId="292" priority="57" stopIfTrue="1" operator="between">
      <formula>0.5</formula>
      <formula>0.75</formula>
    </cfRule>
    <cfRule type="cellIs" dxfId="291" priority="58" stopIfTrue="1" operator="greaterThan">
      <formula>0.75</formula>
    </cfRule>
  </conditionalFormatting>
  <conditionalFormatting sqref="I153:I160">
    <cfRule type="containsText" dxfId="290" priority="55" stopIfTrue="1" operator="containsText" text="RED FLAG">
      <formula>NOT(ISERROR(SEARCH("RED FLAG",I153)))</formula>
    </cfRule>
  </conditionalFormatting>
  <conditionalFormatting sqref="C150">
    <cfRule type="cellIs" dxfId="289" priority="52" stopIfTrue="1" operator="greaterThanOrEqual">
      <formula>0.8</formula>
    </cfRule>
    <cfRule type="cellIs" dxfId="288" priority="53" stopIfTrue="1" operator="between">
      <formula>0.5</formula>
      <formula>0.799</formula>
    </cfRule>
    <cfRule type="cellIs" dxfId="287" priority="54" stopIfTrue="1" operator="lessThan">
      <formula>0.5</formula>
    </cfRule>
  </conditionalFormatting>
  <conditionalFormatting sqref="G150">
    <cfRule type="containsText" dxfId="286" priority="51" stopIfTrue="1" operator="containsText" text="RED FLAG">
      <formula>NOT(ISERROR(SEARCH("RED FLAG",G150)))</formula>
    </cfRule>
  </conditionalFormatting>
  <conditionalFormatting sqref="I140">
    <cfRule type="cellIs" dxfId="285" priority="48" stopIfTrue="1" operator="lessThan">
      <formula>0.5</formula>
    </cfRule>
    <cfRule type="cellIs" dxfId="284" priority="49" stopIfTrue="1" operator="between">
      <formula>0.5</formula>
      <formula>0.75</formula>
    </cfRule>
    <cfRule type="cellIs" dxfId="283" priority="50" stopIfTrue="1" operator="greaterThan">
      <formula>0.75</formula>
    </cfRule>
  </conditionalFormatting>
  <conditionalFormatting sqref="I140">
    <cfRule type="containsText" dxfId="282" priority="47" stopIfTrue="1" operator="containsText" text="RED FLAG">
      <formula>NOT(ISERROR(SEARCH("RED FLAG",I140)))</formula>
    </cfRule>
  </conditionalFormatting>
  <conditionalFormatting sqref="I148">
    <cfRule type="cellIs" dxfId="281" priority="44" stopIfTrue="1" operator="lessThan">
      <formula>0.5</formula>
    </cfRule>
    <cfRule type="cellIs" dxfId="280" priority="45" stopIfTrue="1" operator="between">
      <formula>0.5</formula>
      <formula>0.75</formula>
    </cfRule>
    <cfRule type="cellIs" dxfId="279" priority="46" stopIfTrue="1" operator="greaterThan">
      <formula>0.75</formula>
    </cfRule>
  </conditionalFormatting>
  <conditionalFormatting sqref="I148">
    <cfRule type="containsText" dxfId="278" priority="43" stopIfTrue="1" operator="containsText" text="RED FLAG">
      <formula>NOT(ISERROR(SEARCH("RED FLAG",I148)))</formula>
    </cfRule>
  </conditionalFormatting>
  <conditionalFormatting sqref="I43:I44">
    <cfRule type="containsText" dxfId="277" priority="31" stopIfTrue="1" operator="containsText" text="RED FLAG">
      <formula>NOT(ISERROR(SEARCH("RED FLAG",I43)))</formula>
    </cfRule>
  </conditionalFormatting>
  <conditionalFormatting sqref="I111">
    <cfRule type="cellIs" dxfId="276" priority="40" stopIfTrue="1" operator="lessThan">
      <formula>0.5</formula>
    </cfRule>
    <cfRule type="cellIs" dxfId="275" priority="41" stopIfTrue="1" operator="between">
      <formula>0.5</formula>
      <formula>0.75</formula>
    </cfRule>
    <cfRule type="cellIs" dxfId="274" priority="42" stopIfTrue="1" operator="greaterThan">
      <formula>0.75</formula>
    </cfRule>
  </conditionalFormatting>
  <conditionalFormatting sqref="I111">
    <cfRule type="containsText" dxfId="273" priority="39" stopIfTrue="1" operator="containsText" text="RED FLAG">
      <formula>NOT(ISERROR(SEARCH("RED FLAG",I111)))</formula>
    </cfRule>
  </conditionalFormatting>
  <conditionalFormatting sqref="I56">
    <cfRule type="cellIs" dxfId="272" priority="36" stopIfTrue="1" operator="lessThan">
      <formula>0.5</formula>
    </cfRule>
    <cfRule type="cellIs" dxfId="271" priority="37" stopIfTrue="1" operator="between">
      <formula>0.5</formula>
      <formula>0.75</formula>
    </cfRule>
    <cfRule type="cellIs" dxfId="270" priority="38" stopIfTrue="1" operator="greaterThan">
      <formula>0.75</formula>
    </cfRule>
  </conditionalFormatting>
  <conditionalFormatting sqref="I56">
    <cfRule type="containsText" dxfId="269" priority="35" stopIfTrue="1" operator="containsText" text="RED FLAG">
      <formula>NOT(ISERROR(SEARCH("RED FLAG",I56)))</formula>
    </cfRule>
  </conditionalFormatting>
  <conditionalFormatting sqref="I43:I44">
    <cfRule type="cellIs" dxfId="268" priority="32" stopIfTrue="1" operator="lessThan">
      <formula>0.5</formula>
    </cfRule>
    <cfRule type="cellIs" dxfId="267" priority="33" stopIfTrue="1" operator="between">
      <formula>0.5</formula>
      <formula>0.75</formula>
    </cfRule>
    <cfRule type="cellIs" dxfId="266" priority="34" stopIfTrue="1" operator="greaterThan">
      <formula>0.75</formula>
    </cfRule>
  </conditionalFormatting>
  <conditionalFormatting sqref="I103 I5:I12">
    <cfRule type="containsText" dxfId="265" priority="30" operator="containsText" text="Red Flag">
      <formula>NOT(ISERROR(SEARCH("Red Flag",I5)))</formula>
    </cfRule>
  </conditionalFormatting>
  <conditionalFormatting sqref="I95">
    <cfRule type="containsText" dxfId="264" priority="29" operator="containsText" text="Training Opportunity">
      <formula>NOT(ISERROR(SEARCH("Training Opportunity",I95)))</formula>
    </cfRule>
  </conditionalFormatting>
  <conditionalFormatting sqref="G47">
    <cfRule type="cellIs" dxfId="263" priority="25" stopIfTrue="1" operator="lessThan">
      <formula>0.5</formula>
    </cfRule>
    <cfRule type="cellIs" dxfId="262" priority="26" stopIfTrue="1" operator="between">
      <formula>0.5</formula>
      <formula>0.75</formula>
    </cfRule>
    <cfRule type="cellIs" dxfId="261" priority="27" stopIfTrue="1" operator="greaterThan">
      <formula>0.75</formula>
    </cfRule>
  </conditionalFormatting>
  <conditionalFormatting sqref="G47">
    <cfRule type="cellIs" dxfId="260" priority="22" stopIfTrue="1" operator="lessThan">
      <formula>0.5</formula>
    </cfRule>
    <cfRule type="cellIs" dxfId="259" priority="23" stopIfTrue="1" operator="between">
      <formula>0.5</formula>
      <formula>0.75</formula>
    </cfRule>
    <cfRule type="cellIs" dxfId="258" priority="24" stopIfTrue="1" operator="greaterThan">
      <formula>0.75</formula>
    </cfRule>
  </conditionalFormatting>
  <conditionalFormatting sqref="G49:G50">
    <cfRule type="cellIs" dxfId="257" priority="19" stopIfTrue="1" operator="lessThan">
      <formula>0.5</formula>
    </cfRule>
    <cfRule type="cellIs" dxfId="256" priority="20" stopIfTrue="1" operator="between">
      <formula>0.5</formula>
      <formula>0.75</formula>
    </cfRule>
    <cfRule type="cellIs" dxfId="255" priority="21" stopIfTrue="1" operator="greaterThan">
      <formula>0.75</formula>
    </cfRule>
  </conditionalFormatting>
  <conditionalFormatting sqref="G49:G50">
    <cfRule type="containsText" dxfId="254" priority="18" stopIfTrue="1" operator="containsText" text="RED FLAG">
      <formula>NOT(ISERROR(SEARCH("RED FLAG",G49)))</formula>
    </cfRule>
  </conditionalFormatting>
  <conditionalFormatting sqref="G49:G50">
    <cfRule type="cellIs" dxfId="253" priority="15" stopIfTrue="1" operator="lessThan">
      <formula>0.5</formula>
    </cfRule>
    <cfRule type="cellIs" dxfId="252" priority="16" stopIfTrue="1" operator="between">
      <formula>0.5</formula>
      <formula>0.75</formula>
    </cfRule>
    <cfRule type="cellIs" dxfId="251" priority="17" stopIfTrue="1" operator="greaterThan">
      <formula>0.75</formula>
    </cfRule>
  </conditionalFormatting>
  <conditionalFormatting sqref="G71:G72">
    <cfRule type="cellIs" dxfId="250" priority="12" stopIfTrue="1" operator="lessThan">
      <formula>0.5</formula>
    </cfRule>
    <cfRule type="cellIs" dxfId="249" priority="13" stopIfTrue="1" operator="between">
      <formula>0.5</formula>
      <formula>0.75</formula>
    </cfRule>
    <cfRule type="cellIs" dxfId="248" priority="14" stopIfTrue="1" operator="greaterThan">
      <formula>0.75</formula>
    </cfRule>
  </conditionalFormatting>
  <conditionalFormatting sqref="G71:G72">
    <cfRule type="cellIs" dxfId="247" priority="9" stopIfTrue="1" operator="lessThan">
      <formula>0.5</formula>
    </cfRule>
    <cfRule type="cellIs" dxfId="246" priority="10" stopIfTrue="1" operator="between">
      <formula>0.5</formula>
      <formula>0.75</formula>
    </cfRule>
    <cfRule type="cellIs" dxfId="245" priority="11" stopIfTrue="1" operator="greaterThan">
      <formula>0.75</formula>
    </cfRule>
  </conditionalFormatting>
  <conditionalFormatting sqref="G111 G109">
    <cfRule type="cellIs" dxfId="244" priority="6" stopIfTrue="1" operator="lessThan">
      <formula>0.5</formula>
    </cfRule>
    <cfRule type="cellIs" dxfId="243" priority="7" stopIfTrue="1" operator="between">
      <formula>0.5</formula>
      <formula>0.75</formula>
    </cfRule>
    <cfRule type="cellIs" dxfId="242" priority="8" stopIfTrue="1" operator="greaterThan">
      <formula>0.75</formula>
    </cfRule>
  </conditionalFormatting>
  <conditionalFormatting sqref="I125:I134">
    <cfRule type="containsText" dxfId="241" priority="5" operator="containsText" text="Red Flag">
      <formula>NOT(ISERROR(SEARCH("Red Flag",I125)))</formula>
    </cfRule>
  </conditionalFormatting>
  <conditionalFormatting sqref="G75">
    <cfRule type="cellIs" dxfId="240" priority="2" stopIfTrue="1" operator="lessThan">
      <formula>0.5</formula>
    </cfRule>
    <cfRule type="cellIs" dxfId="239" priority="3" stopIfTrue="1" operator="between">
      <formula>0.5</formula>
      <formula>0.75</formula>
    </cfRule>
    <cfRule type="cellIs" dxfId="238" priority="4" stopIfTrue="1" operator="greaterThan">
      <formula>0.75</formula>
    </cfRule>
  </conditionalFormatting>
  <conditionalFormatting sqref="G75">
    <cfRule type="containsText" dxfId="237" priority="1" stopIfTrue="1" operator="containsText" text="RED FLAG">
      <formula>NOT(ISERROR(SEARCH("RED FLAG",G75)))</formula>
    </cfRule>
  </conditionalFormatting>
  <dataValidations count="4">
    <dataValidation type="list" allowBlank="1" showInputMessage="1" showErrorMessage="1" sqref="C103" xr:uid="{00000000-0002-0000-1000-000000000000}">
      <formula1>"1,2,3,NA"</formula1>
    </dataValidation>
    <dataValidation type="list" allowBlank="1" showInputMessage="1" showErrorMessage="1" sqref="C120" xr:uid="{00000000-0002-0000-1000-000001000000}">
      <formula1>"1,2,NA"</formula1>
    </dataValidation>
    <dataValidation type="list" allowBlank="1" showInputMessage="1" showErrorMessage="1" sqref="C49 C93 C107 C56 C125:C134 C116:C119 C109 C101 C87:C91 C153:C160 C71:C72 C84:C85 C43:C45 C58 C21:C39 C51:C53 C144:C148 C68:C69 C136:C140 C5:C9 C10:C12" xr:uid="{00000000-0002-0000-1000-000002000000}">
      <formula1>"Yes,No,NA"</formula1>
    </dataValidation>
    <dataValidation type="list" allowBlank="1" showInputMessage="1" showErrorMessage="1" sqref="C143 C61:C67 C95:C96 C102 C105:C106 C111 C123 C75 C99 C50 C47 C77:C83" xr:uid="{00000000-0002-0000-1000-000003000000}">
      <formula1>"Yes,No"</formula1>
    </dataValidation>
  </dataValidations>
  <pageMargins left="0.25" right="0.25" top="0.75000000000000011" bottom="0.75000000000000011" header="0.30000000000000004" footer="0.30000000000000004"/>
  <pageSetup paperSize="9" scale="94" fitToHeight="7" orientation="landscape" r:id="rId1"/>
  <headerFooter>
    <oddFooter>&amp;C&amp;A -&amp;P</oddFooter>
  </headerFooter>
  <rowBreaks count="5" manualBreakCount="5">
    <brk id="29" max="7" man="1"/>
    <brk id="51" max="7" man="1"/>
    <brk id="73" max="4" man="1"/>
    <brk id="97" max="4" man="1"/>
    <brk id="121"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0070C0"/>
    <pageSetUpPr fitToPage="1"/>
  </sheetPr>
  <dimension ref="A1:K49"/>
  <sheetViews>
    <sheetView zoomScaleNormal="100" zoomScalePageLayoutView="80" workbookViewId="0">
      <selection activeCell="C5" sqref="C5"/>
    </sheetView>
  </sheetViews>
  <sheetFormatPr defaultColWidth="11" defaultRowHeight="15.6"/>
  <cols>
    <col min="1" max="1" width="4.69921875" style="6" customWidth="1"/>
    <col min="2" max="2" width="82.19921875" style="8" customWidth="1"/>
    <col min="3" max="3" width="5.19921875" style="30" customWidth="1"/>
    <col min="4" max="4" width="3.69921875" customWidth="1"/>
    <col min="5" max="5" width="3.69921875" hidden="1" customWidth="1"/>
    <col min="6" max="6" width="5.19921875" style="30" hidden="1" customWidth="1"/>
    <col min="7" max="7" width="5.19921875" customWidth="1"/>
    <col min="8" max="8" width="37.69921875" style="72" customWidth="1"/>
    <col min="9" max="9" width="9.69921875" style="133" customWidth="1"/>
    <col min="10" max="10" width="11" style="155"/>
  </cols>
  <sheetData>
    <row r="1" spans="1:8">
      <c r="A1" s="10"/>
      <c r="B1" s="43" t="str">
        <f>Language!A1584</f>
        <v>13- AST PANELS, POLICY &amp; ANALYSIS</v>
      </c>
      <c r="C1" s="52" t="str">
        <f>IF(COUNT(G5:G149)=0,"???",AVERAGE(G5:G149))</f>
        <v>???</v>
      </c>
      <c r="F1" s="28"/>
      <c r="H1" s="199" t="str">
        <f>'Facility 1'!H1</f>
        <v>Comments</v>
      </c>
    </row>
    <row r="2" spans="1:8" ht="16.2" thickBot="1">
      <c r="A2" s="10"/>
      <c r="B2" s="210" t="str">
        <f>Language!A1585</f>
        <v>Please note: all questions refer only to clinical patient isolates, NOT to research or environmental isolates</v>
      </c>
      <c r="C2" s="19"/>
      <c r="F2" s="28"/>
      <c r="H2" s="200"/>
    </row>
    <row r="3" spans="1:8" ht="16.2" thickBot="1">
      <c r="A3" s="166"/>
      <c r="B3" s="34" t="str">
        <f>Language!A1586</f>
        <v>AST PANELS</v>
      </c>
      <c r="C3" s="44" t="str">
        <f>IF(COUNTBLANK(C5:C16)=12,"???",IF(COUNT(G5:G16)=0,"NA",AVERAGE(G5:G16)))</f>
        <v>???</v>
      </c>
      <c r="E3" s="30"/>
      <c r="F3" s="28"/>
      <c r="G3" s="30"/>
      <c r="H3" s="446"/>
    </row>
    <row r="4" spans="1:8" ht="41.4" customHeight="1">
      <c r="A4" s="10"/>
      <c r="B4" s="8" t="str">
        <f>Language!A1587</f>
        <v>Is there an SOP that clearly defines the standard combination of antibiotics ("antibiotic panels") the lab will test against each of the following pathogens? (CLSI and EUCAST documents are not SOPs)</v>
      </c>
    </row>
    <row r="5" spans="1:8">
      <c r="A5" s="77" t="s">
        <v>1510</v>
      </c>
      <c r="B5" s="465" t="str">
        <f>Language!A1588</f>
        <v>Staphylococcus aureus</v>
      </c>
      <c r="C5" s="27"/>
      <c r="F5" s="29">
        <f t="shared" ref="F5:F12" si="0">C5</f>
        <v>0</v>
      </c>
      <c r="G5" s="18" t="str">
        <f>IF(F5="Yes",1,IF(F5="No",0,"'"))</f>
        <v>'</v>
      </c>
      <c r="H5" s="450"/>
    </row>
    <row r="6" spans="1:8">
      <c r="A6" s="77" t="s">
        <v>1511</v>
      </c>
      <c r="B6" s="465" t="str">
        <f>Language!A1589</f>
        <v>Enterococcus spp</v>
      </c>
      <c r="C6" s="27"/>
      <c r="F6" s="29">
        <f t="shared" si="0"/>
        <v>0</v>
      </c>
      <c r="G6" s="18" t="str">
        <f t="shared" ref="G6:G16" si="1">IF(F6="Yes",1,IF(F6="No",0,"'"))</f>
        <v>'</v>
      </c>
      <c r="H6" s="450"/>
    </row>
    <row r="7" spans="1:8">
      <c r="A7" s="77" t="s">
        <v>1512</v>
      </c>
      <c r="B7" s="465" t="str">
        <f>Language!A1590</f>
        <v>Streptococcus pneumoniae</v>
      </c>
      <c r="C7" s="27"/>
      <c r="F7" s="29">
        <f t="shared" si="0"/>
        <v>0</v>
      </c>
      <c r="G7" s="18" t="str">
        <f t="shared" si="1"/>
        <v>'</v>
      </c>
      <c r="H7" s="450"/>
    </row>
    <row r="8" spans="1:8">
      <c r="A8" s="77" t="s">
        <v>1513</v>
      </c>
      <c r="B8" s="465" t="str">
        <f>Language!A1591</f>
        <v>Enterobacteriaceae</v>
      </c>
      <c r="C8" s="27"/>
      <c r="F8" s="29">
        <f t="shared" si="0"/>
        <v>0</v>
      </c>
      <c r="G8" s="18" t="str">
        <f t="shared" si="1"/>
        <v>'</v>
      </c>
      <c r="H8" s="450"/>
    </row>
    <row r="9" spans="1:8">
      <c r="A9" s="77" t="s">
        <v>1514</v>
      </c>
      <c r="B9" s="465" t="str">
        <f>Language!A1592</f>
        <v>Salmonella spp</v>
      </c>
      <c r="C9" s="27"/>
      <c r="F9" s="29">
        <f t="shared" si="0"/>
        <v>0</v>
      </c>
      <c r="G9" s="18" t="str">
        <f t="shared" si="1"/>
        <v>'</v>
      </c>
      <c r="H9" s="450"/>
    </row>
    <row r="10" spans="1:8">
      <c r="A10" s="77" t="s">
        <v>1515</v>
      </c>
      <c r="B10" s="465" t="str">
        <f>Language!A1593</f>
        <v>Acinetobacter spp</v>
      </c>
      <c r="C10" s="27"/>
      <c r="F10" s="29">
        <f t="shared" si="0"/>
        <v>0</v>
      </c>
      <c r="G10" s="18" t="str">
        <f t="shared" si="1"/>
        <v>'</v>
      </c>
      <c r="H10" s="450"/>
    </row>
    <row r="11" spans="1:8">
      <c r="A11" s="77" t="s">
        <v>1516</v>
      </c>
      <c r="B11" s="465" t="str">
        <f>Language!A1594</f>
        <v>Pseudomonas aeruginosa</v>
      </c>
      <c r="C11" s="27"/>
      <c r="F11" s="29">
        <f t="shared" si="0"/>
        <v>0</v>
      </c>
      <c r="G11" s="18" t="str">
        <f t="shared" si="1"/>
        <v>'</v>
      </c>
      <c r="H11" s="450"/>
    </row>
    <row r="12" spans="1:8" ht="27.6" customHeight="1">
      <c r="A12" s="77" t="s">
        <v>1517</v>
      </c>
      <c r="B12" s="20" t="str">
        <f>Language!A1595</f>
        <v>Review several patient AST reports for E. coli. Is the same combination of antibiotics tested each time?</v>
      </c>
      <c r="C12" s="27"/>
      <c r="F12" s="29">
        <f t="shared" si="0"/>
        <v>0</v>
      </c>
      <c r="G12" s="18" t="str">
        <f t="shared" si="1"/>
        <v>'</v>
      </c>
      <c r="H12" s="450"/>
    </row>
    <row r="13" spans="1:8" ht="41.4" customHeight="1">
      <c r="A13" s="10"/>
      <c r="B13" s="8" t="str">
        <f>Language!A1596</f>
        <v>Does the SOP clearly define how to modify the standard antibiotic panels described above based upon the body site of infection? ONLY select NA if the laboratory does not perform testing on the body site listed.</v>
      </c>
      <c r="G13" s="211"/>
    </row>
    <row r="14" spans="1:8">
      <c r="A14" s="77" t="s">
        <v>1518</v>
      </c>
      <c r="B14" s="37" t="str">
        <f>Language!A1597</f>
        <v>Urine</v>
      </c>
      <c r="C14" s="27"/>
      <c r="F14" s="29">
        <f>C14</f>
        <v>0</v>
      </c>
      <c r="G14" s="18" t="str">
        <f t="shared" si="1"/>
        <v>'</v>
      </c>
      <c r="H14" s="450"/>
    </row>
    <row r="15" spans="1:8">
      <c r="A15" s="77" t="s">
        <v>1519</v>
      </c>
      <c r="B15" s="37" t="str">
        <f>Language!A1598</f>
        <v>CSF</v>
      </c>
      <c r="C15" s="27"/>
      <c r="F15" s="29">
        <f>C15</f>
        <v>0</v>
      </c>
      <c r="G15" s="18" t="str">
        <f t="shared" si="1"/>
        <v>'</v>
      </c>
      <c r="H15" s="450"/>
    </row>
    <row r="16" spans="1:8">
      <c r="A16" s="77" t="s">
        <v>1520</v>
      </c>
      <c r="B16" s="37" t="str">
        <f>Language!A1599</f>
        <v>Blood</v>
      </c>
      <c r="C16" s="27"/>
      <c r="F16" s="29">
        <f>C16</f>
        <v>0</v>
      </c>
      <c r="G16" s="18" t="str">
        <f t="shared" si="1"/>
        <v>'</v>
      </c>
      <c r="H16" s="450"/>
    </row>
    <row r="17" spans="1:11" ht="16.2" thickBot="1">
      <c r="A17" s="16"/>
      <c r="B17" s="471"/>
      <c r="C17" s="99"/>
      <c r="D17" s="412"/>
      <c r="E17" s="155"/>
      <c r="F17" s="201"/>
      <c r="G17" s="155"/>
      <c r="H17" s="220"/>
      <c r="I17"/>
      <c r="K17" s="155"/>
    </row>
    <row r="18" spans="1:11" ht="16.2" thickBot="1">
      <c r="A18" s="166"/>
      <c r="B18" s="34" t="str">
        <f>Language!A1600</f>
        <v>CUMULATIVE ANTIBIOGRAMS</v>
      </c>
      <c r="C18" s="44" t="str">
        <f>IF(COUNTBLANK(C19:C32)=14,"???",IF(COUNT(G19:G32)=0,"NA",AVERAGE(G19:G32)))</f>
        <v>???</v>
      </c>
      <c r="E18" s="30"/>
      <c r="G18" s="30"/>
      <c r="H18" s="446"/>
    </row>
    <row r="19" spans="1:11">
      <c r="A19" s="77" t="s">
        <v>1521</v>
      </c>
      <c r="B19" s="8" t="str">
        <f>Language!A1601</f>
        <v>Does the lab produce a cumulative antibiogram at least annually?</v>
      </c>
      <c r="C19" s="27"/>
      <c r="F19" s="29">
        <f>C19</f>
        <v>0</v>
      </c>
      <c r="G19" s="18" t="str">
        <f>IF(F19="Yes",1,IF(F19="No",0,"'"))</f>
        <v>'</v>
      </c>
      <c r="H19" s="450"/>
      <c r="J19" s="212"/>
    </row>
    <row r="20" spans="1:11">
      <c r="A20" s="77" t="s">
        <v>1522</v>
      </c>
      <c r="B20" s="8" t="str">
        <f>Language!A1603</f>
        <v>Does the lab have a software program to produce the antibiogram?</v>
      </c>
      <c r="C20" s="27"/>
      <c r="F20" s="29">
        <f>C20</f>
        <v>0</v>
      </c>
      <c r="G20" s="18" t="str">
        <f t="shared" ref="G20:G32" si="2">IF(F20="Yes",1,IF(F20="No",0,"'"))</f>
        <v>'</v>
      </c>
      <c r="H20" s="450"/>
    </row>
    <row r="21" spans="1:11" ht="27.6" customHeight="1">
      <c r="A21" s="10"/>
      <c r="B21" s="8" t="str">
        <f>Language!A1604</f>
        <v>Review the most recent cumulative antibiogram. Does it adhere to the following CLSI M39 recommendations?</v>
      </c>
      <c r="C21" s="2"/>
      <c r="F21" s="29"/>
      <c r="G21" s="211"/>
      <c r="H21" s="170"/>
      <c r="J21" s="241"/>
    </row>
    <row r="22" spans="1:11">
      <c r="A22" s="77" t="s">
        <v>1523</v>
      </c>
      <c r="B22" s="37" t="str">
        <f>Language!A1605</f>
        <v>Clearly displays the inclusive date range (e.g. Jan 1, YYYY – Dec 31, YYYY)</v>
      </c>
      <c r="C22" s="27"/>
      <c r="F22" s="29">
        <f t="shared" ref="F22:F32" si="3">C22</f>
        <v>0</v>
      </c>
      <c r="G22" s="18" t="str">
        <f t="shared" si="2"/>
        <v>'</v>
      </c>
      <c r="H22" s="450"/>
    </row>
    <row r="23" spans="1:11">
      <c r="A23" s="77" t="s">
        <v>1524</v>
      </c>
      <c r="B23" s="37" t="str">
        <f>Language!A1606</f>
        <v xml:space="preserve">Clearly displays the name of the hospital/facility </v>
      </c>
      <c r="C23" s="27"/>
      <c r="F23" s="29">
        <f t="shared" si="3"/>
        <v>0</v>
      </c>
      <c r="G23" s="18" t="str">
        <f t="shared" si="2"/>
        <v>'</v>
      </c>
      <c r="H23" s="450"/>
    </row>
    <row r="24" spans="1:11">
      <c r="A24" s="77" t="s">
        <v>1525</v>
      </c>
      <c r="B24" s="37" t="str">
        <f>Language!A1607</f>
        <v>Data is presented as %S (not %R)</v>
      </c>
      <c r="C24" s="27"/>
      <c r="F24" s="29">
        <f t="shared" si="3"/>
        <v>0</v>
      </c>
      <c r="G24" s="18" t="str">
        <f t="shared" si="2"/>
        <v>'</v>
      </c>
      <c r="H24" s="450"/>
    </row>
    <row r="25" spans="1:11">
      <c r="A25" s="77" t="s">
        <v>1526</v>
      </c>
      <c r="B25" s="37" t="str">
        <f>Language!A1608</f>
        <v>For each organism, the total N tested is displayed</v>
      </c>
      <c r="C25" s="27"/>
      <c r="F25" s="29">
        <f t="shared" si="3"/>
        <v>0</v>
      </c>
      <c r="G25" s="18" t="str">
        <f t="shared" si="2"/>
        <v>'</v>
      </c>
      <c r="H25" s="450"/>
    </row>
    <row r="26" spans="1:11">
      <c r="A26" s="77" t="s">
        <v>1527</v>
      </c>
      <c r="B26" s="37" t="str">
        <f>Language!A1609</f>
        <v>Only presents data for organisms/antibiotics where the total N = 30 or more isolates</v>
      </c>
      <c r="C26" s="27"/>
      <c r="F26" s="29">
        <f t="shared" si="3"/>
        <v>0</v>
      </c>
      <c r="G26" s="18" t="str">
        <f t="shared" si="2"/>
        <v>'</v>
      </c>
      <c r="H26" s="450"/>
    </row>
    <row r="27" spans="1:11" ht="27.6" customHeight="1">
      <c r="A27" s="77" t="s">
        <v>1528</v>
      </c>
      <c r="B27" s="8" t="str">
        <f>Language!A1610</f>
        <v>Are isolates from environmental cultures and screening cultures (e.g., MRSA screen, VRE screen) excluded from the analysis?</v>
      </c>
      <c r="C27" s="27"/>
      <c r="F27" s="29">
        <f t="shared" si="3"/>
        <v>0</v>
      </c>
      <c r="G27" s="18" t="str">
        <f t="shared" si="2"/>
        <v>'</v>
      </c>
      <c r="H27" s="450"/>
    </row>
    <row r="28" spans="1:11" ht="41.4" customHeight="1">
      <c r="A28" s="77" t="s">
        <v>1529</v>
      </c>
      <c r="B28" s="8" t="str">
        <f>Language!A1611</f>
        <v>Is the lab able to de-duplicate the data, so that only the first isolate of a given species per patient, per analysis period is included, irrespective of the body site of recovery?</v>
      </c>
      <c r="C28" s="27"/>
      <c r="F28" s="29">
        <f t="shared" si="3"/>
        <v>0</v>
      </c>
      <c r="G28" s="18" t="str">
        <f t="shared" si="2"/>
        <v>'</v>
      </c>
      <c r="H28" s="450"/>
    </row>
    <row r="29" spans="1:11">
      <c r="A29" s="77" t="s">
        <v>1530</v>
      </c>
      <c r="B29" s="8" t="str">
        <f>Language!A1612</f>
        <v>Is the lab able to separate inpatient data from outpatient data?</v>
      </c>
      <c r="C29" s="27"/>
      <c r="F29" s="29">
        <f t="shared" si="3"/>
        <v>0</v>
      </c>
      <c r="G29" s="18" t="str">
        <f t="shared" si="2"/>
        <v>'</v>
      </c>
      <c r="H29" s="450"/>
    </row>
    <row r="30" spans="1:11" ht="27.6" customHeight="1">
      <c r="A30" s="77" t="s">
        <v>1531</v>
      </c>
      <c r="B30" s="8" t="str">
        <f>Language!A1613</f>
        <v>If the lab serves multiple hospitals/facilities, are they able to separate the data by Facility?</v>
      </c>
      <c r="C30" s="27"/>
      <c r="F30" s="29">
        <f t="shared" si="3"/>
        <v>0</v>
      </c>
      <c r="G30" s="18" t="str">
        <f t="shared" si="2"/>
        <v>'</v>
      </c>
      <c r="H30" s="450"/>
    </row>
    <row r="31" spans="1:11" ht="27.6" customHeight="1">
      <c r="A31" s="77" t="s">
        <v>1532</v>
      </c>
      <c r="B31" s="8" t="str">
        <f>Language!A1614</f>
        <v>Is the cumulative antibiogram reviewed annually by either an Antibiotic Stewardship or a Pharmacy &amp; Therapeutics Committee?</v>
      </c>
      <c r="C31" s="27"/>
      <c r="F31" s="29">
        <f t="shared" si="3"/>
        <v>0</v>
      </c>
      <c r="G31" s="18" t="str">
        <f t="shared" si="2"/>
        <v>'</v>
      </c>
      <c r="H31" s="450"/>
    </row>
    <row r="32" spans="1:11">
      <c r="A32" s="77" t="s">
        <v>1533</v>
      </c>
      <c r="B32" s="8" t="str">
        <f>Language!A1615</f>
        <v>Is the cumulative antibiogram distributed to all physicians?</v>
      </c>
      <c r="C32" s="27"/>
      <c r="F32" s="29">
        <f t="shared" si="3"/>
        <v>0</v>
      </c>
      <c r="G32" s="18" t="str">
        <f t="shared" si="2"/>
        <v>'</v>
      </c>
      <c r="H32" s="450"/>
    </row>
    <row r="33" spans="1:10" ht="16.2" thickBot="1">
      <c r="A33" s="10"/>
      <c r="B33" s="18"/>
      <c r="C33" s="18"/>
      <c r="D33" s="18"/>
      <c r="E33" s="18"/>
      <c r="F33" s="18"/>
      <c r="G33" s="18"/>
      <c r="H33" s="262"/>
    </row>
    <row r="34" spans="1:10" ht="16.2" thickBot="1">
      <c r="A34" s="166"/>
      <c r="B34" s="34" t="str">
        <f>Language!A1616</f>
        <v>AST POLICY</v>
      </c>
      <c r="C34" s="44" t="str">
        <f>IF(COUNTBLANK(C35:C48)=14,"???",IF(COUNT(G35:G48)=0,"NA",AVERAGE(G35:G48)))</f>
        <v>???</v>
      </c>
      <c r="E34" s="30"/>
      <c r="F34" s="28"/>
      <c r="G34" s="30"/>
      <c r="H34" s="446"/>
    </row>
    <row r="35" spans="1:10" ht="27.6" customHeight="1">
      <c r="A35" s="77" t="s">
        <v>1534</v>
      </c>
      <c r="B35" s="8" t="str">
        <f>Language!A1617</f>
        <v>Does lab policy primarily determine which isolates receive AST, or is AST performed only when it is specifically requested by the doctor?</v>
      </c>
      <c r="C35" s="32"/>
      <c r="F35" s="29">
        <f>C35</f>
        <v>0</v>
      </c>
      <c r="G35" s="18" t="str">
        <f>IF(F35=2,0,IF(F35=1,1,IF(F35=3,0.5,"'")))</f>
        <v>'</v>
      </c>
      <c r="H35" s="454"/>
      <c r="I35" s="183" t="str">
        <f>IF(F35=2,"System Flag",IF(F35=3,"System Flag","'"))</f>
        <v>'</v>
      </c>
    </row>
    <row r="36" spans="1:10" ht="27.6" customHeight="1">
      <c r="A36" s="10"/>
      <c r="B36" s="465" t="str">
        <f>Language!A1618</f>
        <v>1: Lab policy primarily determines - 2: Only when requested by clinician - 3: Equal mix of both</v>
      </c>
      <c r="C36"/>
      <c r="F36"/>
      <c r="H36" s="175"/>
      <c r="I36" s="197"/>
    </row>
    <row r="37" spans="1:10" ht="27.6" customHeight="1">
      <c r="A37" s="77" t="s">
        <v>1535</v>
      </c>
      <c r="B37" s="8" t="str">
        <f>Language!A1619</f>
        <v>Does lab policy primarily determine which antibiotics to test and report, or does the lab only test and report the antibiotics specifically requested by the physician?</v>
      </c>
      <c r="C37" s="32"/>
      <c r="F37" s="29">
        <f>C37</f>
        <v>0</v>
      </c>
      <c r="G37" s="18" t="str">
        <f>IF(F37=2,0,IF(F37=1,1,IF(F37=3,0.5,"'")))</f>
        <v>'</v>
      </c>
      <c r="H37" s="450"/>
      <c r="I37" s="183" t="str">
        <f>IF(F37=2,"System Flag",IF(F37=3,"System Flag","'"))</f>
        <v>'</v>
      </c>
    </row>
    <row r="38" spans="1:10" ht="27.6" customHeight="1">
      <c r="A38" s="77"/>
      <c r="B38" s="465" t="str">
        <f>Language!A1620</f>
        <v>1: Lab policy primarily determines - 2: Only the antibiotics requested by physician - 3: Equal mix of both</v>
      </c>
      <c r="C38" s="464"/>
      <c r="I38" s="162"/>
    </row>
    <row r="39" spans="1:10" ht="55.2" customHeight="1">
      <c r="A39" s="10"/>
      <c r="B39" s="20" t="str">
        <f>Language!A1621</f>
        <v>"Cascade reporting” is a strategy of selective reporting of AST results in which secondary agents (e.g., broader spectrum, more costly) may be suppressed or excluded from the patient report if an organism is susceptible to primary agents within the same drug class.</v>
      </c>
      <c r="C39"/>
      <c r="F39"/>
    </row>
    <row r="40" spans="1:10">
      <c r="A40" s="77" t="s">
        <v>1536</v>
      </c>
      <c r="B40" s="8" t="str">
        <f>Language!A1622</f>
        <v xml:space="preserve"> Does the lab practice “cascade reporting”?</v>
      </c>
      <c r="C40" s="109"/>
      <c r="F40" s="29"/>
      <c r="G40" s="18"/>
      <c r="H40" s="450"/>
      <c r="J40" s="212"/>
    </row>
    <row r="41" spans="1:10">
      <c r="A41" s="10"/>
      <c r="B41" s="465" t="str">
        <f>Language!A1623</f>
        <v>If no, answer NA to next question</v>
      </c>
    </row>
    <row r="42" spans="1:10" ht="41.4" customHeight="1">
      <c r="A42" s="10"/>
      <c r="B42" s="20" t="str">
        <f>Language!A1624</f>
        <v>With cascade reporting, there is a risk that the AST results excluded from the patient report may also be excluded from the main data repository or LIS. This can lead to highly biased AMR surveillance and cumulative antibiogram statistics.</v>
      </c>
    </row>
    <row r="43" spans="1:10" ht="27.6" customHeight="1">
      <c r="A43" s="77" t="s">
        <v>1537</v>
      </c>
      <c r="B43" s="8" t="str">
        <f>Language!A1625</f>
        <v>If the lab practices cascade reporting, is it done in a way which ensures that the AST results excluded from the patient report are NOT excluded from the LIS or other main data repository?</v>
      </c>
      <c r="C43" s="27"/>
      <c r="F43" s="29">
        <f>C43</f>
        <v>0</v>
      </c>
      <c r="G43" s="18" t="str">
        <f t="shared" ref="G43:G48" si="4">IF(F43="Yes",1,IF(F43="No",0,"'"))</f>
        <v>'</v>
      </c>
      <c r="H43" s="450"/>
      <c r="I43" s="18" t="str">
        <f>IF(C43="No","Red Flag","'")</f>
        <v>'</v>
      </c>
    </row>
    <row r="44" spans="1:10">
      <c r="A44" s="77" t="s">
        <v>1538</v>
      </c>
      <c r="B44" s="8" t="str">
        <f>Language!A1626</f>
        <v>Does the hospital have an Antibiotic Stewardship Committee?</v>
      </c>
      <c r="C44" s="27"/>
      <c r="F44" s="29">
        <f t="shared" ref="F44:F48" si="5">C44</f>
        <v>0</v>
      </c>
      <c r="G44" s="18" t="str">
        <f t="shared" si="4"/>
        <v>'</v>
      </c>
      <c r="H44" s="454"/>
      <c r="I44" s="18" t="str">
        <f>IF(C44="No","System Flag","'")</f>
        <v>'</v>
      </c>
    </row>
    <row r="45" spans="1:10">
      <c r="A45" s="77" t="s">
        <v>1539</v>
      </c>
      <c r="B45" s="8" t="str">
        <f>Language!A1627</f>
        <v>If the hospital has an Antibiotic Stewardship Committee, is a microbiologist a member?</v>
      </c>
      <c r="C45" s="27"/>
      <c r="F45" s="29">
        <f t="shared" si="5"/>
        <v>0</v>
      </c>
      <c r="G45" s="18" t="str">
        <f t="shared" si="4"/>
        <v>'</v>
      </c>
      <c r="H45" s="457"/>
      <c r="I45" s="18" t="str">
        <f>IF(C45="No","System Flag","'")</f>
        <v>'</v>
      </c>
    </row>
    <row r="46" spans="1:10">
      <c r="A46" s="77" t="s">
        <v>1540</v>
      </c>
      <c r="B46" s="8" t="str">
        <f>Language!A1628</f>
        <v>Does the hospital have a Pharmacy and Therapeutics Committee?</v>
      </c>
      <c r="C46" s="27"/>
      <c r="F46" s="29">
        <f t="shared" si="5"/>
        <v>0</v>
      </c>
      <c r="G46" s="18" t="str">
        <f t="shared" si="4"/>
        <v>'</v>
      </c>
      <c r="H46" s="457"/>
      <c r="I46" s="18" t="str">
        <f>IF(C46="No","System Flag","'")</f>
        <v>'</v>
      </c>
    </row>
    <row r="47" spans="1:10">
      <c r="A47" s="77" t="s">
        <v>1541</v>
      </c>
      <c r="B47" s="8" t="str">
        <f>Language!A1629</f>
        <v>If the hospital has a Pharmacy and Therapeutics Committee, is a microbiologist a member?</v>
      </c>
      <c r="C47" s="27"/>
      <c r="F47" s="29">
        <f t="shared" si="5"/>
        <v>0</v>
      </c>
      <c r="G47" s="18" t="str">
        <f t="shared" si="4"/>
        <v>'</v>
      </c>
      <c r="H47" s="457"/>
      <c r="I47" s="18" t="str">
        <f>IF(C47="No","System Flag","'")</f>
        <v>'</v>
      </c>
    </row>
    <row r="48" spans="1:10" ht="41.4" customHeight="1">
      <c r="A48" s="77" t="s">
        <v>1542</v>
      </c>
      <c r="B48" s="8" t="str">
        <f>Language!A1630</f>
        <v>Does the hospital's Antibiotic Stewardship or Pharmacy and Therapeutic Committee meet at least annually to review national or international AST panel recommendations and modify them based on the hospital's formulary and cumulative antibiogram?</v>
      </c>
      <c r="C48" s="27"/>
      <c r="F48" s="29">
        <f t="shared" si="5"/>
        <v>0</v>
      </c>
      <c r="G48" s="18" t="str">
        <f t="shared" si="4"/>
        <v>'</v>
      </c>
      <c r="H48" s="454"/>
      <c r="I48" s="18" t="str">
        <f>IF(C48="No","System Flag","'")</f>
        <v>'</v>
      </c>
    </row>
    <row r="49" spans="1:1">
      <c r="A49" s="10"/>
    </row>
  </sheetData>
  <sheetProtection algorithmName="SHA-256" hashValue="DKVZTo01YOfrdOTCZLM81ETAxvcNoB9GffS3v42nR8Y=" saltValue="xKWh54TCTptdNfEBdjgmZw==" spinCount="100000" sheet="1" selectLockedCells="1"/>
  <phoneticPr fontId="46" type="noConversion"/>
  <conditionalFormatting sqref="C3">
    <cfRule type="cellIs" dxfId="236" priority="248" stopIfTrue="1" operator="greaterThanOrEqual">
      <formula>0.8</formula>
    </cfRule>
    <cfRule type="cellIs" dxfId="235" priority="249" stopIfTrue="1" operator="between">
      <formula>0.5</formula>
      <formula>0.799</formula>
    </cfRule>
    <cfRule type="cellIs" dxfId="234" priority="250" stopIfTrue="1" operator="lessThan">
      <formula>0.5</formula>
    </cfRule>
  </conditionalFormatting>
  <conditionalFormatting sqref="G40 G16 B33:G33">
    <cfRule type="cellIs" dxfId="233" priority="245" stopIfTrue="1" operator="lessThan">
      <formula>0.5</formula>
    </cfRule>
    <cfRule type="cellIs" dxfId="232" priority="246" stopIfTrue="1" operator="between">
      <formula>0.5</formula>
      <formula>0.75</formula>
    </cfRule>
    <cfRule type="cellIs" dxfId="231" priority="247" stopIfTrue="1" operator="greaterThan">
      <formula>0.75</formula>
    </cfRule>
  </conditionalFormatting>
  <conditionalFormatting sqref="G5:G12 G14:G16">
    <cfRule type="cellIs" dxfId="230" priority="230" stopIfTrue="1" operator="lessThan">
      <formula>0.5</formula>
    </cfRule>
    <cfRule type="cellIs" dxfId="229" priority="231" stopIfTrue="1" operator="between">
      <formula>0.5</formula>
      <formula>0.75</formula>
    </cfRule>
    <cfRule type="cellIs" dxfId="228" priority="232" stopIfTrue="1" operator="greaterThan">
      <formula>0.75</formula>
    </cfRule>
  </conditionalFormatting>
  <conditionalFormatting sqref="G6">
    <cfRule type="cellIs" dxfId="227" priority="227" stopIfTrue="1" operator="lessThan">
      <formula>0.5</formula>
    </cfRule>
    <cfRule type="cellIs" dxfId="226" priority="228" stopIfTrue="1" operator="between">
      <formula>0.5</formula>
      <formula>0.75</formula>
    </cfRule>
    <cfRule type="cellIs" dxfId="225" priority="229" stopIfTrue="1" operator="greaterThan">
      <formula>0.75</formula>
    </cfRule>
  </conditionalFormatting>
  <conditionalFormatting sqref="G7">
    <cfRule type="cellIs" dxfId="224" priority="224" stopIfTrue="1" operator="lessThan">
      <formula>0.5</formula>
    </cfRule>
    <cfRule type="cellIs" dxfId="223" priority="225" stopIfTrue="1" operator="between">
      <formula>0.5</formula>
      <formula>0.75</formula>
    </cfRule>
    <cfRule type="cellIs" dxfId="222" priority="226" stopIfTrue="1" operator="greaterThan">
      <formula>0.75</formula>
    </cfRule>
  </conditionalFormatting>
  <conditionalFormatting sqref="G8">
    <cfRule type="cellIs" dxfId="221" priority="221" stopIfTrue="1" operator="lessThan">
      <formula>0.5</formula>
    </cfRule>
    <cfRule type="cellIs" dxfId="220" priority="222" stopIfTrue="1" operator="between">
      <formula>0.5</formula>
      <formula>0.75</formula>
    </cfRule>
    <cfRule type="cellIs" dxfId="219" priority="223" stopIfTrue="1" operator="greaterThan">
      <formula>0.75</formula>
    </cfRule>
  </conditionalFormatting>
  <conditionalFormatting sqref="G9">
    <cfRule type="cellIs" dxfId="218" priority="218" stopIfTrue="1" operator="lessThan">
      <formula>0.5</formula>
    </cfRule>
    <cfRule type="cellIs" dxfId="217" priority="219" stopIfTrue="1" operator="between">
      <formula>0.5</formula>
      <formula>0.75</formula>
    </cfRule>
    <cfRule type="cellIs" dxfId="216" priority="220" stopIfTrue="1" operator="greaterThan">
      <formula>0.75</formula>
    </cfRule>
  </conditionalFormatting>
  <conditionalFormatting sqref="G10">
    <cfRule type="cellIs" dxfId="215" priority="215" stopIfTrue="1" operator="lessThan">
      <formula>0.5</formula>
    </cfRule>
    <cfRule type="cellIs" dxfId="214" priority="216" stopIfTrue="1" operator="between">
      <formula>0.5</formula>
      <formula>0.75</formula>
    </cfRule>
    <cfRule type="cellIs" dxfId="213" priority="217" stopIfTrue="1" operator="greaterThan">
      <formula>0.75</formula>
    </cfRule>
  </conditionalFormatting>
  <conditionalFormatting sqref="G11:G12">
    <cfRule type="cellIs" dxfId="212" priority="212" stopIfTrue="1" operator="lessThan">
      <formula>0.5</formula>
    </cfRule>
    <cfRule type="cellIs" dxfId="211" priority="213" stopIfTrue="1" operator="between">
      <formula>0.5</formula>
      <formula>0.75</formula>
    </cfRule>
    <cfRule type="cellIs" dxfId="210" priority="214" stopIfTrue="1" operator="greaterThan">
      <formula>0.75</formula>
    </cfRule>
  </conditionalFormatting>
  <conditionalFormatting sqref="G14">
    <cfRule type="cellIs" dxfId="209" priority="209" stopIfTrue="1" operator="lessThan">
      <formula>0.5</formula>
    </cfRule>
    <cfRule type="cellIs" dxfId="208" priority="210" stopIfTrue="1" operator="between">
      <formula>0.5</formula>
      <formula>0.75</formula>
    </cfRule>
    <cfRule type="cellIs" dxfId="207" priority="211" stopIfTrue="1" operator="greaterThan">
      <formula>0.75</formula>
    </cfRule>
  </conditionalFormatting>
  <conditionalFormatting sqref="G15">
    <cfRule type="cellIs" dxfId="206" priority="206" stopIfTrue="1" operator="lessThan">
      <formula>0.5</formula>
    </cfRule>
    <cfRule type="cellIs" dxfId="205" priority="207" stopIfTrue="1" operator="between">
      <formula>0.5</formula>
      <formula>0.75</formula>
    </cfRule>
    <cfRule type="cellIs" dxfId="204" priority="208" stopIfTrue="1" operator="greaterThan">
      <formula>0.75</formula>
    </cfRule>
  </conditionalFormatting>
  <conditionalFormatting sqref="C18">
    <cfRule type="cellIs" dxfId="203" priority="197" stopIfTrue="1" operator="greaterThanOrEqual">
      <formula>0.8</formula>
    </cfRule>
    <cfRule type="cellIs" dxfId="202" priority="198" stopIfTrue="1" operator="between">
      <formula>0.5</formula>
      <formula>0.799</formula>
    </cfRule>
    <cfRule type="cellIs" dxfId="201" priority="199" stopIfTrue="1" operator="lessThan">
      <formula>0.5</formula>
    </cfRule>
  </conditionalFormatting>
  <conditionalFormatting sqref="G19:G20 G22:G32">
    <cfRule type="cellIs" dxfId="200" priority="194" stopIfTrue="1" operator="lessThan">
      <formula>0.5</formula>
    </cfRule>
    <cfRule type="cellIs" dxfId="199" priority="195" stopIfTrue="1" operator="between">
      <formula>0.5</formula>
      <formula>0.75</formula>
    </cfRule>
    <cfRule type="cellIs" dxfId="198" priority="196" stopIfTrue="1" operator="greaterThan">
      <formula>0.75</formula>
    </cfRule>
  </conditionalFormatting>
  <conditionalFormatting sqref="G67:G1048576 G49 G38:G42 G1:G12 G14:G16 G18:G20 G22:G32 B33:G33">
    <cfRule type="containsText" dxfId="197" priority="163" stopIfTrue="1" operator="containsText" text="RED FLAG">
      <formula>NOT(ISERROR(SEARCH("RED FLAG",B1)))</formula>
    </cfRule>
  </conditionalFormatting>
  <conditionalFormatting sqref="G34">
    <cfRule type="containsText" dxfId="196" priority="107" stopIfTrue="1" operator="containsText" text="RED FLAG">
      <formula>NOT(ISERROR(SEARCH("RED FLAG",G34)))</formula>
    </cfRule>
  </conditionalFormatting>
  <conditionalFormatting sqref="I43">
    <cfRule type="cellIs" dxfId="195" priority="100" stopIfTrue="1" operator="lessThan">
      <formula>0.5</formula>
    </cfRule>
    <cfRule type="cellIs" dxfId="194" priority="101" stopIfTrue="1" operator="between">
      <formula>0.5</formula>
      <formula>0.75</formula>
    </cfRule>
    <cfRule type="cellIs" dxfId="193" priority="102" stopIfTrue="1" operator="greaterThan">
      <formula>0.75</formula>
    </cfRule>
  </conditionalFormatting>
  <conditionalFormatting sqref="I43">
    <cfRule type="containsText" dxfId="192" priority="99" stopIfTrue="1" operator="containsText" text="RED FLAG">
      <formula>NOT(ISERROR(SEARCH("RED FLAG",I43)))</formula>
    </cfRule>
  </conditionalFormatting>
  <conditionalFormatting sqref="C34">
    <cfRule type="cellIs" dxfId="191" priority="21" stopIfTrue="1" operator="greaterThanOrEqual">
      <formula>0.8</formula>
    </cfRule>
    <cfRule type="cellIs" dxfId="190" priority="22" stopIfTrue="1" operator="between">
      <formula>0.5</formula>
      <formula>0.799</formula>
    </cfRule>
    <cfRule type="cellIs" dxfId="189" priority="23" stopIfTrue="1" operator="lessThan">
      <formula>0.5</formula>
    </cfRule>
  </conditionalFormatting>
  <conditionalFormatting sqref="I44:I48">
    <cfRule type="containsText" dxfId="188" priority="20" operator="containsText" text="System Flag">
      <formula>NOT(ISERROR(SEARCH("System Flag",I44)))</formula>
    </cfRule>
  </conditionalFormatting>
  <conditionalFormatting sqref="G36">
    <cfRule type="containsText" dxfId="187" priority="17" stopIfTrue="1" operator="containsText" text="RED FLAG">
      <formula>NOT(ISERROR(SEARCH("RED FLAG",G36)))</formula>
    </cfRule>
  </conditionalFormatting>
  <conditionalFormatting sqref="G35">
    <cfRule type="cellIs" dxfId="186" priority="14" stopIfTrue="1" operator="lessThan">
      <formula>0.5</formula>
    </cfRule>
    <cfRule type="cellIs" dxfId="185" priority="15" stopIfTrue="1" operator="between">
      <formula>0.5</formula>
      <formula>0.75</formula>
    </cfRule>
    <cfRule type="cellIs" dxfId="184" priority="16" stopIfTrue="1" operator="greaterThan">
      <formula>0.75</formula>
    </cfRule>
  </conditionalFormatting>
  <conditionalFormatting sqref="I35">
    <cfRule type="containsText" dxfId="183" priority="12" operator="containsText" text="System Flag">
      <formula>NOT(ISERROR(SEARCH("System Flag",I35)))</formula>
    </cfRule>
  </conditionalFormatting>
  <conditionalFormatting sqref="I37">
    <cfRule type="containsText" dxfId="182" priority="11" operator="containsText" text="System Flag">
      <formula>NOT(ISERROR(SEARCH("System Flag",I37)))</formula>
    </cfRule>
  </conditionalFormatting>
  <conditionalFormatting sqref="G37">
    <cfRule type="cellIs" dxfId="181" priority="5" stopIfTrue="1" operator="lessThan">
      <formula>0.5</formula>
    </cfRule>
    <cfRule type="cellIs" dxfId="180" priority="6" stopIfTrue="1" operator="between">
      <formula>0.5</formula>
      <formula>0.75</formula>
    </cfRule>
    <cfRule type="cellIs" dxfId="179" priority="7" stopIfTrue="1" operator="greaterThan">
      <formula>0.75</formula>
    </cfRule>
  </conditionalFormatting>
  <conditionalFormatting sqref="G43:G48">
    <cfRule type="cellIs" dxfId="178" priority="2" stopIfTrue="1" operator="lessThan">
      <formula>0.5</formula>
    </cfRule>
    <cfRule type="cellIs" dxfId="177" priority="3" stopIfTrue="1" operator="between">
      <formula>0.5</formula>
      <formula>0.75</formula>
    </cfRule>
    <cfRule type="cellIs" dxfId="176" priority="4" stopIfTrue="1" operator="greaterThan">
      <formula>0.75</formula>
    </cfRule>
  </conditionalFormatting>
  <conditionalFormatting sqref="G43:G48">
    <cfRule type="containsText" dxfId="175" priority="1" stopIfTrue="1" operator="containsText" text="RED FLAG">
      <formula>NOT(ISERROR(SEARCH("RED FLAG",G43)))</formula>
    </cfRule>
  </conditionalFormatting>
  <dataValidations count="3">
    <dataValidation type="list" allowBlank="1" showInputMessage="1" showErrorMessage="1" sqref="C19 C5:C12 C40" xr:uid="{00000000-0002-0000-1100-000000000000}">
      <formula1>"Yes,No"</formula1>
    </dataValidation>
    <dataValidation type="list" allowBlank="1" showInputMessage="1" showErrorMessage="1" sqref="C43:C48 C14:C16 C22:C32 C20" xr:uid="{00000000-0002-0000-1100-000001000000}">
      <formula1>"Yes,No,NA"</formula1>
    </dataValidation>
    <dataValidation type="list" allowBlank="1" showInputMessage="1" showErrorMessage="1" sqref="C35 C37" xr:uid="{00000000-0002-0000-1100-000002000000}">
      <formula1>"1,2,3"</formula1>
    </dataValidation>
  </dataValidations>
  <pageMargins left="0.25" right="0.25" top="0.75000000000000011" bottom="0.75000000000000011" header="0.30000000000000004" footer="0.30000000000000004"/>
  <pageSetup paperSize="9" scale="89" fitToHeight="2" orientation="landscape" r:id="rId1"/>
  <headerFooter>
    <oddFooter>&amp;C&amp;A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G2595"/>
  <sheetViews>
    <sheetView tabSelected="1" zoomScale="90" zoomScaleNormal="90" zoomScalePageLayoutView="80" workbookViewId="0">
      <pane xSplit="1" topLeftCell="B1" activePane="topRight" state="frozen"/>
      <selection activeCell="A314" sqref="A314"/>
      <selection pane="topRight" activeCell="A3" sqref="A3"/>
    </sheetView>
  </sheetViews>
  <sheetFormatPr defaultColWidth="11" defaultRowHeight="13.8"/>
  <cols>
    <col min="1" max="1" width="5.69921875" style="5" customWidth="1"/>
    <col min="2" max="3" width="30.69921875" style="26" customWidth="1"/>
    <col min="4" max="4" width="30.69921875" style="363" customWidth="1"/>
    <col min="5" max="5" width="30.69921875" style="553" customWidth="1"/>
    <col min="6" max="6" width="30.69921875" style="464" customWidth="1"/>
    <col min="7" max="7" width="56.296875" style="5" customWidth="1"/>
    <col min="8" max="8" width="54.796875" style="5" customWidth="1"/>
    <col min="9" max="16384" width="11" style="5"/>
  </cols>
  <sheetData>
    <row r="1" spans="1:7" ht="18">
      <c r="A1" s="577" t="str">
        <f>A4</f>
        <v>Select the number of the desired language in cell A3: 1- English, 2- French, 3- Spanish, 4-Portuguese, 5-Other</v>
      </c>
      <c r="B1" s="577"/>
      <c r="C1" s="577"/>
      <c r="D1" s="288"/>
      <c r="E1" s="552"/>
    </row>
    <row r="2" spans="1:7">
      <c r="A2" s="466" t="s">
        <v>7123</v>
      </c>
      <c r="C2" s="508"/>
      <c r="D2" s="508"/>
    </row>
    <row r="3" spans="1:7" s="296" customFormat="1" ht="18">
      <c r="A3" s="468">
        <v>1</v>
      </c>
      <c r="B3" s="359" t="str">
        <f>A5</f>
        <v>1-English</v>
      </c>
      <c r="C3" s="359" t="str">
        <f>A6</f>
        <v>2-French</v>
      </c>
      <c r="D3" s="359" t="str">
        <f>A7</f>
        <v>3-Spanish</v>
      </c>
      <c r="E3" s="576" t="str">
        <f>A8</f>
        <v>4-Portuguese</v>
      </c>
      <c r="F3" s="575" t="s">
        <v>4907</v>
      </c>
      <c r="G3" s="5"/>
    </row>
    <row r="4" spans="1:7" ht="41.4">
      <c r="A4" s="295" t="str">
        <f t="shared" ref="A4:A78" si="0">IF(langue=1,B4,IF(langue=2,C4,IF(langue=3,D4,IF(langue=4,E4,F4))))</f>
        <v>Select the number of the desired language in cell A3: 1- English, 2- French, 3- Spanish, 4-Portuguese, 5-Other</v>
      </c>
      <c r="B4" s="170" t="s">
        <v>6684</v>
      </c>
      <c r="C4" s="26" t="s">
        <v>7135</v>
      </c>
      <c r="D4" s="288" t="s">
        <v>7122</v>
      </c>
      <c r="E4" s="578" t="s">
        <v>7121</v>
      </c>
    </row>
    <row r="5" spans="1:7">
      <c r="A5" s="295" t="str">
        <f t="shared" si="0"/>
        <v>1-English</v>
      </c>
      <c r="B5" s="26" t="s">
        <v>935</v>
      </c>
      <c r="C5" s="26" t="s">
        <v>4818</v>
      </c>
      <c r="D5" s="288" t="s">
        <v>2890</v>
      </c>
      <c r="E5" s="553" t="s">
        <v>4908</v>
      </c>
    </row>
    <row r="6" spans="1:7">
      <c r="A6" s="295" t="str">
        <f t="shared" si="0"/>
        <v>2-French</v>
      </c>
      <c r="B6" s="26" t="s">
        <v>1</v>
      </c>
      <c r="C6" s="26" t="s">
        <v>4819</v>
      </c>
      <c r="D6" s="288" t="s">
        <v>2891</v>
      </c>
      <c r="E6" s="553" t="s">
        <v>4909</v>
      </c>
    </row>
    <row r="7" spans="1:7">
      <c r="A7" s="295" t="str">
        <f t="shared" si="0"/>
        <v>3-Spanish</v>
      </c>
      <c r="B7" s="26" t="s">
        <v>2405</v>
      </c>
      <c r="C7" s="26" t="s">
        <v>4820</v>
      </c>
      <c r="D7" s="288" t="s">
        <v>2892</v>
      </c>
      <c r="E7" s="553" t="s">
        <v>4910</v>
      </c>
    </row>
    <row r="8" spans="1:7">
      <c r="A8" s="295" t="str">
        <f t="shared" si="0"/>
        <v>4-Portuguese</v>
      </c>
      <c r="B8" s="26" t="s">
        <v>6662</v>
      </c>
      <c r="C8" s="26" t="s">
        <v>4911</v>
      </c>
      <c r="D8" s="288" t="s">
        <v>4912</v>
      </c>
      <c r="E8" s="553" t="s">
        <v>4913</v>
      </c>
    </row>
    <row r="9" spans="1:7">
      <c r="A9" s="295" t="str">
        <f t="shared" si="0"/>
        <v>Laboratory Assessment</v>
      </c>
      <c r="B9" s="26" t="s">
        <v>2404</v>
      </c>
      <c r="C9" s="26" t="s">
        <v>4520</v>
      </c>
      <c r="D9" s="288" t="s">
        <v>2893</v>
      </c>
      <c r="E9" s="553" t="s">
        <v>4914</v>
      </c>
    </row>
    <row r="10" spans="1:7">
      <c r="A10" s="295" t="str">
        <f t="shared" si="0"/>
        <v xml:space="preserve">of </v>
      </c>
      <c r="B10" s="26" t="s">
        <v>2403</v>
      </c>
      <c r="C10" s="26" t="s">
        <v>7196</v>
      </c>
      <c r="D10" s="288" t="s">
        <v>2894</v>
      </c>
      <c r="E10" s="553" t="s">
        <v>4915</v>
      </c>
    </row>
    <row r="11" spans="1:7">
      <c r="A11" s="295" t="str">
        <f t="shared" si="0"/>
        <v>Antibiotic Resistance</v>
      </c>
      <c r="B11" s="26" t="s">
        <v>2402</v>
      </c>
      <c r="C11" s="26" t="s">
        <v>7197</v>
      </c>
      <c r="D11" s="288" t="s">
        <v>3648</v>
      </c>
      <c r="E11" s="553" t="s">
        <v>6801</v>
      </c>
    </row>
    <row r="12" spans="1:7">
      <c r="A12" s="295" t="str">
        <f t="shared" si="0"/>
        <v>Testing Capacity</v>
      </c>
      <c r="B12" s="26" t="s">
        <v>2401</v>
      </c>
      <c r="C12" s="26" t="s">
        <v>4802</v>
      </c>
      <c r="D12" s="170" t="s">
        <v>3649</v>
      </c>
      <c r="E12" s="553" t="s">
        <v>4916</v>
      </c>
    </row>
    <row r="13" spans="1:7">
      <c r="A13" s="295" t="str">
        <f t="shared" si="0"/>
        <v>LAARC</v>
      </c>
      <c r="B13" s="26" t="s">
        <v>6786</v>
      </c>
      <c r="C13" s="26" t="s">
        <v>6786</v>
      </c>
      <c r="D13" s="26" t="s">
        <v>6786</v>
      </c>
      <c r="E13" s="553" t="s">
        <v>6786</v>
      </c>
    </row>
    <row r="14" spans="1:7" s="393" customFormat="1">
      <c r="A14" s="467" t="str">
        <f t="shared" si="0"/>
        <v>Version 2.0 - August 2020</v>
      </c>
      <c r="B14" s="314" t="s">
        <v>6866</v>
      </c>
      <c r="C14" s="314" t="s">
        <v>7126</v>
      </c>
      <c r="D14" s="392" t="s">
        <v>7124</v>
      </c>
      <c r="E14" s="554" t="s">
        <v>7125</v>
      </c>
      <c r="F14" s="573"/>
    </row>
    <row r="15" spans="1:7" ht="27.6">
      <c r="A15" s="295" t="str">
        <f t="shared" si="0"/>
        <v>Developed by CDC in collaboration with IQLS</v>
      </c>
      <c r="B15" s="26" t="s">
        <v>6787</v>
      </c>
      <c r="C15" s="402" t="s">
        <v>6789</v>
      </c>
      <c r="D15" s="401" t="s">
        <v>6849</v>
      </c>
      <c r="E15" s="555" t="s">
        <v>6788</v>
      </c>
    </row>
    <row r="16" spans="1:7" ht="55.2">
      <c r="A16" s="295" t="str">
        <f t="shared" si="0"/>
        <v>Please register your use of the Laboratory Assessment of Antibiotic Resistance Testing Capacity (LAARC) Tool.</v>
      </c>
      <c r="B16" s="26" t="s">
        <v>7183</v>
      </c>
      <c r="C16" s="402" t="s">
        <v>7185</v>
      </c>
      <c r="D16" s="401" t="s">
        <v>7186</v>
      </c>
      <c r="E16" s="555" t="s">
        <v>7184</v>
      </c>
    </row>
    <row r="17" spans="1:6">
      <c r="A17" s="295" t="str">
        <f t="shared" si="0"/>
        <v>Registration is optional.</v>
      </c>
      <c r="B17" s="26" t="s">
        <v>7180</v>
      </c>
      <c r="C17" s="402" t="s">
        <v>7188</v>
      </c>
      <c r="D17" s="401" t="s">
        <v>7187</v>
      </c>
      <c r="E17" s="555" t="s">
        <v>7189</v>
      </c>
    </row>
    <row r="18" spans="1:6" ht="41.4">
      <c r="A18" s="295" t="str">
        <f t="shared" si="0"/>
        <v xml:space="preserve">If you register, CDC will notify you of updates and changes to the LAARC Tool. </v>
      </c>
      <c r="B18" s="26" t="s">
        <v>7181</v>
      </c>
      <c r="C18" s="402" t="s">
        <v>7192</v>
      </c>
      <c r="D18" s="401" t="s">
        <v>7191</v>
      </c>
      <c r="E18" s="555" t="s">
        <v>7190</v>
      </c>
    </row>
    <row r="19" spans="1:6" ht="96.6">
      <c r="A19" s="295" t="str">
        <f t="shared" si="0"/>
        <v>In addition, CDC may request feedback to improve the tool or ask you to participate in research to better understand antimicrobial resistance laboratory findings from around the world. Sharing information is optional.</v>
      </c>
      <c r="B19" s="26" t="s">
        <v>7182</v>
      </c>
      <c r="C19" s="402" t="s">
        <v>7193</v>
      </c>
      <c r="D19" s="401" t="s">
        <v>7194</v>
      </c>
      <c r="E19" s="555" t="s">
        <v>7195</v>
      </c>
    </row>
    <row r="20" spans="1:6">
      <c r="A20" s="295" t="str">
        <f t="shared" si="0"/>
        <v>LAARC Tool Registration (optional) (https://www.cdc.gov/drugresistance/intl-activities/registration.html)</v>
      </c>
      <c r="B20" s="549" t="s">
        <v>7269</v>
      </c>
      <c r="C20" s="549" t="s">
        <v>7270</v>
      </c>
      <c r="D20" s="550" t="s">
        <v>7271</v>
      </c>
      <c r="E20" s="556" t="s">
        <v>7272</v>
      </c>
    </row>
    <row r="21" spans="1:6" ht="41.4">
      <c r="A21" s="295" t="str">
        <f t="shared" si="0"/>
        <v>Tables for use with AST Expert Rules Module, questions 12.7 - 12.25</v>
      </c>
      <c r="B21" s="26" t="s">
        <v>7206</v>
      </c>
      <c r="C21" s="26" t="s">
        <v>7207</v>
      </c>
      <c r="D21" s="288" t="s">
        <v>7208</v>
      </c>
      <c r="E21" s="553" t="s">
        <v>7209</v>
      </c>
    </row>
    <row r="22" spans="1:6" ht="55.2">
      <c r="A22" s="295" t="str">
        <f t="shared" si="0"/>
        <v>Current CLSI and EUCAST breakpoints for Salmonella spp, Enterobacterales, Acinetobacter spp, and Pseudomonas aeruginosa</v>
      </c>
      <c r="B22" s="26" t="s">
        <v>7117</v>
      </c>
      <c r="C22" s="26" t="s">
        <v>7118</v>
      </c>
      <c r="D22" s="288" t="s">
        <v>7119</v>
      </c>
      <c r="E22" s="553" t="s">
        <v>7120</v>
      </c>
    </row>
    <row r="23" spans="1:6" ht="27.6">
      <c r="A23" s="295" t="str">
        <f t="shared" si="0"/>
        <v>Figure for use with AST QC Module, questions 7.7 - 7.11</v>
      </c>
      <c r="B23" s="26" t="s">
        <v>2394</v>
      </c>
      <c r="C23" s="26" t="s">
        <v>4521</v>
      </c>
      <c r="D23" s="288" t="s">
        <v>3650</v>
      </c>
      <c r="E23" s="553" t="s">
        <v>7136</v>
      </c>
    </row>
    <row r="24" spans="1:6" ht="27.6">
      <c r="A24" s="295" t="str">
        <f t="shared" si="0"/>
        <v>Workflow for subculturing and using reference strains</v>
      </c>
      <c r="B24" s="26" t="s">
        <v>4807</v>
      </c>
      <c r="C24" s="26" t="s">
        <v>4821</v>
      </c>
      <c r="D24" s="288" t="s">
        <v>4885</v>
      </c>
      <c r="E24" s="553" t="s">
        <v>4917</v>
      </c>
    </row>
    <row r="25" spans="1:6" ht="27.6">
      <c r="A25" s="295" t="str">
        <f t="shared" si="0"/>
        <v>as described in CLSI M02, Subchapter 4.4</v>
      </c>
      <c r="B25" s="26" t="s">
        <v>4808</v>
      </c>
      <c r="C25" s="26" t="s">
        <v>4822</v>
      </c>
      <c r="D25" s="288" t="s">
        <v>4886</v>
      </c>
      <c r="E25" s="553" t="s">
        <v>4918</v>
      </c>
    </row>
    <row r="26" spans="1:6" ht="27.6">
      <c r="A26" s="295" t="str">
        <f t="shared" si="0"/>
        <v>"F" indicates the frozen or freeze-dried state of the stock culture</v>
      </c>
      <c r="B26" s="26" t="s">
        <v>4809</v>
      </c>
      <c r="C26" s="26" t="s">
        <v>4919</v>
      </c>
      <c r="D26" s="288" t="s">
        <v>4887</v>
      </c>
      <c r="E26" s="553" t="s">
        <v>4920</v>
      </c>
    </row>
    <row r="27" spans="1:6">
      <c r="A27" s="295" t="str">
        <f t="shared" si="0"/>
        <v>"1" indicates the first passage</v>
      </c>
      <c r="B27" s="26" t="s">
        <v>4810</v>
      </c>
      <c r="C27" s="26" t="s">
        <v>4823</v>
      </c>
      <c r="D27" s="288" t="s">
        <v>4888</v>
      </c>
      <c r="E27" s="553" t="s">
        <v>4921</v>
      </c>
    </row>
    <row r="28" spans="1:6">
      <c r="A28" s="295" t="str">
        <f t="shared" si="0"/>
        <v>"2" indicates the second passage</v>
      </c>
      <c r="B28" s="26" t="s">
        <v>4811</v>
      </c>
      <c r="C28" s="26" t="s">
        <v>4824</v>
      </c>
      <c r="D28" s="288" t="s">
        <v>4889</v>
      </c>
      <c r="E28" s="553" t="s">
        <v>4922</v>
      </c>
    </row>
    <row r="29" spans="1:6" ht="27.6">
      <c r="A29" s="295" t="str">
        <f t="shared" si="0"/>
        <v>"3" indicates the third passage from stock culture</v>
      </c>
      <c r="B29" s="26" t="s">
        <v>4812</v>
      </c>
      <c r="C29" s="26" t="s">
        <v>4825</v>
      </c>
      <c r="D29" s="288" t="s">
        <v>4890</v>
      </c>
      <c r="E29" s="553" t="s">
        <v>4923</v>
      </c>
    </row>
    <row r="30" spans="1:6" ht="82.8">
      <c r="A30" s="295" t="str">
        <f t="shared" si="0"/>
        <v>Please use this Excel scoring tool in conjunction with the LAARC User Guide and Questionnaire, which includes the questions in a printable format. Available on the CDC website:</v>
      </c>
      <c r="B30" s="26" t="s">
        <v>7251</v>
      </c>
      <c r="C30" s="401" t="s">
        <v>7252</v>
      </c>
      <c r="D30" s="402" t="s">
        <v>7253</v>
      </c>
      <c r="E30" s="553" t="s">
        <v>7254</v>
      </c>
    </row>
    <row r="31" spans="1:6" s="393" customFormat="1">
      <c r="A31" s="467" t="str">
        <f t="shared" si="0"/>
        <v>https://www.cdc.gov/drugresistance/intl-activities/laarc.html</v>
      </c>
      <c r="B31" s="550" t="s">
        <v>7268</v>
      </c>
      <c r="C31" s="550" t="s">
        <v>7268</v>
      </c>
      <c r="D31" s="550" t="s">
        <v>7268</v>
      </c>
      <c r="E31" s="550" t="s">
        <v>7268</v>
      </c>
      <c r="F31" s="573"/>
    </row>
    <row r="32" spans="1:6" ht="55.2">
      <c r="A32" s="295" t="str">
        <f t="shared" si="0"/>
        <v>Changing language can also change the row height, making it difficult to read the information in the blue and red tabs.</v>
      </c>
      <c r="B32" s="26" t="s">
        <v>7235</v>
      </c>
      <c r="C32" s="401" t="s">
        <v>7238</v>
      </c>
      <c r="D32" s="402" t="s">
        <v>7237</v>
      </c>
      <c r="E32" s="557" t="s">
        <v>7236</v>
      </c>
    </row>
    <row r="33" spans="1:5" ht="69">
      <c r="A33" s="295" t="str">
        <f t="shared" si="0"/>
        <v>To correct this, click on the grey triangle in the upper left-hand corner between row 1 and column A, then select Home, Cells, Format, Autofit Row Height</v>
      </c>
      <c r="B33" s="26" t="s">
        <v>7231</v>
      </c>
      <c r="C33" s="402" t="s">
        <v>7232</v>
      </c>
      <c r="D33" s="402" t="s">
        <v>7233</v>
      </c>
      <c r="E33" s="557" t="s">
        <v>7234</v>
      </c>
    </row>
    <row r="34" spans="1:5" ht="27.6">
      <c r="A34" s="295" t="str">
        <f t="shared" si="0"/>
        <v>Repeat this action in each blue and red tab.</v>
      </c>
      <c r="B34" s="393" t="s">
        <v>7239</v>
      </c>
      <c r="C34" s="402" t="s">
        <v>7240</v>
      </c>
      <c r="D34" s="402" t="s">
        <v>7241</v>
      </c>
      <c r="E34" s="557" t="s">
        <v>7242</v>
      </c>
    </row>
    <row r="35" spans="1:5" ht="27.6">
      <c r="A35" s="295" t="str">
        <f t="shared" si="0"/>
        <v>Figure for use with Facility Module, question 1.13</v>
      </c>
      <c r="B35" s="26" t="s">
        <v>2395</v>
      </c>
      <c r="C35" s="26" t="s">
        <v>4522</v>
      </c>
      <c r="D35" s="288" t="s">
        <v>3651</v>
      </c>
      <c r="E35" s="553" t="s">
        <v>6802</v>
      </c>
    </row>
    <row r="36" spans="1:5" ht="27.6">
      <c r="A36" s="295" t="str">
        <f t="shared" si="0"/>
        <v>McFarland QC Standards in front of a Wickerham card</v>
      </c>
      <c r="B36" s="26" t="s">
        <v>2396</v>
      </c>
      <c r="C36" s="26" t="s">
        <v>4924</v>
      </c>
      <c r="D36" s="288" t="s">
        <v>3652</v>
      </c>
      <c r="E36" s="553" t="s">
        <v>4925</v>
      </c>
    </row>
    <row r="37" spans="1:5" ht="41.4">
      <c r="A37" s="295" t="str">
        <f t="shared" si="0"/>
        <v>Laboratory Assessment of Antibiotic Resistance Testing Capacity</v>
      </c>
      <c r="B37" s="26" t="s">
        <v>81</v>
      </c>
      <c r="C37" s="26" t="s">
        <v>4926</v>
      </c>
      <c r="D37" s="288" t="s">
        <v>3653</v>
      </c>
      <c r="E37" s="553" t="s">
        <v>4927</v>
      </c>
    </row>
    <row r="38" spans="1:5" ht="41.4">
      <c r="A38" s="295" t="str">
        <f t="shared" si="0"/>
        <v>Updated August 2019 - Excel adaptation by IQLS August 2019</v>
      </c>
      <c r="B38" s="26" t="s">
        <v>2356</v>
      </c>
      <c r="C38" s="26" t="s">
        <v>2412</v>
      </c>
      <c r="D38" s="288" t="s">
        <v>3654</v>
      </c>
      <c r="E38" s="553" t="s">
        <v>4928</v>
      </c>
    </row>
    <row r="39" spans="1:5">
      <c r="A39" s="295" t="str">
        <f t="shared" si="0"/>
        <v xml:space="preserve">Laboratory name </v>
      </c>
      <c r="B39" s="26" t="s">
        <v>9</v>
      </c>
      <c r="C39" s="26" t="s">
        <v>2413</v>
      </c>
      <c r="D39" s="288" t="s">
        <v>2895</v>
      </c>
      <c r="E39" s="553" t="s">
        <v>4929</v>
      </c>
    </row>
    <row r="40" spans="1:5">
      <c r="A40" s="295" t="str">
        <f t="shared" si="0"/>
        <v>Laboratory address</v>
      </c>
      <c r="B40" s="26" t="s">
        <v>10</v>
      </c>
      <c r="C40" s="26" t="s">
        <v>2414</v>
      </c>
      <c r="D40" s="288" t="s">
        <v>2896</v>
      </c>
      <c r="E40" s="553" t="s">
        <v>4930</v>
      </c>
    </row>
    <row r="41" spans="1:5">
      <c r="A41" s="295" t="str">
        <f t="shared" si="0"/>
        <v>City/Province/District</v>
      </c>
      <c r="B41" s="26" t="s">
        <v>2208</v>
      </c>
      <c r="C41" s="26" t="s">
        <v>2415</v>
      </c>
      <c r="D41" s="288" t="s">
        <v>2897</v>
      </c>
      <c r="E41" s="553" t="s">
        <v>4931</v>
      </c>
    </row>
    <row r="42" spans="1:5">
      <c r="A42" s="295" t="str">
        <f t="shared" si="0"/>
        <v>Country</v>
      </c>
      <c r="B42" s="26" t="s">
        <v>295</v>
      </c>
      <c r="C42" s="26" t="s">
        <v>2416</v>
      </c>
      <c r="D42" s="288" t="s">
        <v>2898</v>
      </c>
      <c r="E42" s="553" t="s">
        <v>2898</v>
      </c>
    </row>
    <row r="43" spans="1:5">
      <c r="A43" s="295" t="str">
        <f t="shared" si="0"/>
        <v>Date of Assessment</v>
      </c>
      <c r="B43" s="26" t="s">
        <v>2209</v>
      </c>
      <c r="C43" s="26" t="s">
        <v>2417</v>
      </c>
      <c r="D43" s="288" t="s">
        <v>2899</v>
      </c>
      <c r="E43" s="553" t="s">
        <v>4932</v>
      </c>
    </row>
    <row r="44" spans="1:5" ht="41.4">
      <c r="A44" s="295" t="str">
        <f t="shared" si="0"/>
        <v>TEST MENU AND ANNUAL CULTURE WORKLOAD</v>
      </c>
      <c r="B44" s="26" t="s">
        <v>2189</v>
      </c>
      <c r="C44" s="26" t="s">
        <v>4933</v>
      </c>
      <c r="D44" s="170" t="s">
        <v>3655</v>
      </c>
      <c r="E44" s="553" t="s">
        <v>6803</v>
      </c>
    </row>
    <row r="45" spans="1:5">
      <c r="A45" s="295" t="str">
        <f t="shared" si="0"/>
        <v>Blood Cultures</v>
      </c>
      <c r="B45" s="26" t="s">
        <v>823</v>
      </c>
      <c r="C45" s="26" t="s">
        <v>4523</v>
      </c>
      <c r="D45" s="288" t="s">
        <v>2997</v>
      </c>
      <c r="E45" s="553" t="s">
        <v>4934</v>
      </c>
    </row>
    <row r="46" spans="1:5">
      <c r="A46" s="295" t="str">
        <f t="shared" si="0"/>
        <v>Urine Cultures</v>
      </c>
      <c r="B46" s="26" t="s">
        <v>824</v>
      </c>
      <c r="C46" s="26" t="s">
        <v>2418</v>
      </c>
      <c r="D46" s="288" t="s">
        <v>3656</v>
      </c>
      <c r="E46" s="553" t="s">
        <v>4935</v>
      </c>
    </row>
    <row r="47" spans="1:5">
      <c r="A47" s="295" t="str">
        <f t="shared" si="0"/>
        <v>Stool Cultures</v>
      </c>
      <c r="B47" s="26" t="s">
        <v>825</v>
      </c>
      <c r="C47" s="26" t="s">
        <v>4524</v>
      </c>
      <c r="D47" s="288" t="s">
        <v>3657</v>
      </c>
      <c r="E47" s="553" t="s">
        <v>4936</v>
      </c>
    </row>
    <row r="48" spans="1:5">
      <c r="A48" s="295" t="str">
        <f t="shared" si="0"/>
        <v>Respiratory Cultures (not TB)</v>
      </c>
      <c r="B48" s="26" t="s">
        <v>826</v>
      </c>
      <c r="C48" s="26" t="s">
        <v>4525</v>
      </c>
      <c r="D48" s="170" t="s">
        <v>2900</v>
      </c>
      <c r="E48" s="553" t="s">
        <v>6804</v>
      </c>
    </row>
    <row r="49" spans="1:5">
      <c r="A49" s="295" t="str">
        <f t="shared" si="0"/>
        <v>Wound Cultures</v>
      </c>
      <c r="B49" s="26" t="s">
        <v>827</v>
      </c>
      <c r="C49" s="26" t="s">
        <v>4937</v>
      </c>
      <c r="D49" s="170" t="s">
        <v>3658</v>
      </c>
      <c r="E49" s="553" t="s">
        <v>5299</v>
      </c>
    </row>
    <row r="50" spans="1:5" ht="27.6">
      <c r="A50" s="295" t="str">
        <f t="shared" si="0"/>
        <v>Cerebrospinal Fluid Cultures</v>
      </c>
      <c r="B50" s="26" t="s">
        <v>835</v>
      </c>
      <c r="C50" s="26" t="s">
        <v>4526</v>
      </c>
      <c r="D50" s="170" t="s">
        <v>2901</v>
      </c>
      <c r="E50" s="553" t="s">
        <v>5300</v>
      </c>
    </row>
    <row r="51" spans="1:5">
      <c r="A51" s="295" t="str">
        <f t="shared" si="0"/>
        <v>Sterile Body Fluid Cultures</v>
      </c>
      <c r="B51" s="26" t="s">
        <v>828</v>
      </c>
      <c r="C51" s="26" t="s">
        <v>4938</v>
      </c>
      <c r="D51" s="170" t="s">
        <v>2902</v>
      </c>
      <c r="E51" s="553" t="s">
        <v>6805</v>
      </c>
    </row>
    <row r="52" spans="1:5">
      <c r="A52" s="295" t="str">
        <f t="shared" si="0"/>
        <v>Genital Cultures</v>
      </c>
      <c r="B52" s="26" t="s">
        <v>1559</v>
      </c>
      <c r="C52" s="26" t="s">
        <v>4939</v>
      </c>
      <c r="D52" s="170" t="s">
        <v>3659</v>
      </c>
      <c r="E52" s="553" t="s">
        <v>5304</v>
      </c>
    </row>
    <row r="53" spans="1:5">
      <c r="A53" s="295" t="str">
        <f t="shared" si="0"/>
        <v>Anaerobic Cultures</v>
      </c>
      <c r="B53" s="26" t="s">
        <v>829</v>
      </c>
      <c r="C53" s="26" t="s">
        <v>2420</v>
      </c>
      <c r="D53" s="170" t="s">
        <v>3660</v>
      </c>
      <c r="E53" s="553" t="s">
        <v>6806</v>
      </c>
    </row>
    <row r="54" spans="1:5">
      <c r="A54" s="295" t="str">
        <f t="shared" si="0"/>
        <v>Fungal Cultures (Yeast)</v>
      </c>
      <c r="B54" s="26" t="s">
        <v>831</v>
      </c>
      <c r="C54" s="26" t="s">
        <v>2421</v>
      </c>
      <c r="D54" s="288" t="s">
        <v>3661</v>
      </c>
      <c r="E54" s="553" t="s">
        <v>6807</v>
      </c>
    </row>
    <row r="55" spans="1:5">
      <c r="A55" s="295" t="str">
        <f t="shared" si="0"/>
        <v>Fungal Cultures (Mold)</v>
      </c>
      <c r="B55" s="26" t="s">
        <v>830</v>
      </c>
      <c r="C55" s="26" t="s">
        <v>2422</v>
      </c>
      <c r="D55" s="288" t="s">
        <v>3662</v>
      </c>
      <c r="E55" s="553" t="s">
        <v>6808</v>
      </c>
    </row>
    <row r="56" spans="1:5" ht="27.6">
      <c r="A56" s="295" t="str">
        <f t="shared" si="0"/>
        <v>MRSA screen (nares, axilla, groin)</v>
      </c>
      <c r="B56" s="26" t="s">
        <v>832</v>
      </c>
      <c r="C56" s="26" t="s">
        <v>4940</v>
      </c>
      <c r="D56" s="170" t="s">
        <v>3663</v>
      </c>
      <c r="E56" s="553" t="s">
        <v>4941</v>
      </c>
    </row>
    <row r="57" spans="1:5">
      <c r="A57" s="295" t="str">
        <f t="shared" si="0"/>
        <v>VRE screen (rectal swab)</v>
      </c>
      <c r="B57" s="26" t="s">
        <v>833</v>
      </c>
      <c r="C57" s="26" t="s">
        <v>4942</v>
      </c>
      <c r="D57" s="170" t="s">
        <v>3664</v>
      </c>
      <c r="E57" s="553" t="s">
        <v>4943</v>
      </c>
    </row>
    <row r="58" spans="1:5">
      <c r="A58" s="295" t="str">
        <f t="shared" si="0"/>
        <v>CRE screen (rectal swab)</v>
      </c>
      <c r="B58" s="26" t="s">
        <v>834</v>
      </c>
      <c r="C58" s="26" t="s">
        <v>4944</v>
      </c>
      <c r="D58" s="170" t="s">
        <v>3665</v>
      </c>
      <c r="E58" s="553" t="s">
        <v>4945</v>
      </c>
    </row>
    <row r="59" spans="1:5" ht="27.6">
      <c r="A59" s="295" t="str">
        <f t="shared" si="0"/>
        <v>ID and/or AST of isolates referred from other laboratories</v>
      </c>
      <c r="B59" s="26" t="s">
        <v>2397</v>
      </c>
      <c r="C59" s="26" t="s">
        <v>4946</v>
      </c>
      <c r="D59" s="288" t="s">
        <v>3666</v>
      </c>
      <c r="E59" s="553" t="s">
        <v>4947</v>
      </c>
    </row>
    <row r="60" spans="1:5">
      <c r="A60" s="295" t="str">
        <f t="shared" si="0"/>
        <v xml:space="preserve">Other cultures of local imoprtance </v>
      </c>
      <c r="B60" s="26" t="s">
        <v>1892</v>
      </c>
      <c r="C60" s="360" t="s">
        <v>4948</v>
      </c>
      <c r="D60" s="288" t="s">
        <v>3667</v>
      </c>
      <c r="E60" s="553" t="s">
        <v>4949</v>
      </c>
    </row>
    <row r="61" spans="1:5">
      <c r="A61" s="295" t="str">
        <f t="shared" si="0"/>
        <v>ANNUAL AST WORKLOAD</v>
      </c>
      <c r="B61" s="26" t="s">
        <v>2190</v>
      </c>
      <c r="C61" s="26" t="s">
        <v>4527</v>
      </c>
      <c r="D61" s="288" t="s">
        <v>3668</v>
      </c>
      <c r="E61" s="553" t="s">
        <v>4950</v>
      </c>
    </row>
    <row r="62" spans="1:5">
      <c r="A62" s="295" t="str">
        <f t="shared" si="0"/>
        <v>Automated AST instrument</v>
      </c>
      <c r="B62" s="26" t="s">
        <v>2191</v>
      </c>
      <c r="C62" s="26" t="s">
        <v>4951</v>
      </c>
      <c r="D62" s="288" t="s">
        <v>3669</v>
      </c>
      <c r="E62" s="553" t="s">
        <v>4952</v>
      </c>
    </row>
    <row r="63" spans="1:5">
      <c r="A63" s="295" t="str">
        <f t="shared" si="0"/>
        <v>Disk diffusion</v>
      </c>
      <c r="B63" s="26" t="s">
        <v>65</v>
      </c>
      <c r="C63" s="26" t="s">
        <v>4528</v>
      </c>
      <c r="D63" s="288" t="s">
        <v>3670</v>
      </c>
      <c r="E63" s="553" t="s">
        <v>4953</v>
      </c>
    </row>
    <row r="64" spans="1:5" ht="27.6">
      <c r="A64" s="295" t="str">
        <f t="shared" si="0"/>
        <v>Gradient Strip (e.g., Etest/Liofilchem)</v>
      </c>
      <c r="B64" s="26" t="s">
        <v>168</v>
      </c>
      <c r="C64" s="26" t="s">
        <v>4529</v>
      </c>
      <c r="D64" s="288" t="s">
        <v>3671</v>
      </c>
      <c r="E64" s="553" t="s">
        <v>4954</v>
      </c>
    </row>
    <row r="65" spans="1:5" ht="27.6">
      <c r="A65" s="295" t="str">
        <f t="shared" si="0"/>
        <v>Broth microdilution (96-well tray)</v>
      </c>
      <c r="B65" s="26" t="s">
        <v>169</v>
      </c>
      <c r="C65" s="26" t="s">
        <v>4530</v>
      </c>
      <c r="D65" s="288" t="s">
        <v>3672</v>
      </c>
      <c r="E65" s="553" t="s">
        <v>4955</v>
      </c>
    </row>
    <row r="66" spans="1:5" ht="27.6">
      <c r="A66" s="295" t="str">
        <f t="shared" si="0"/>
        <v>Broth macrodilultion (tube method)</v>
      </c>
      <c r="B66" s="26" t="s">
        <v>170</v>
      </c>
      <c r="C66" s="26" t="s">
        <v>4531</v>
      </c>
      <c r="D66" s="288" t="s">
        <v>3673</v>
      </c>
      <c r="E66" s="553" t="s">
        <v>4956</v>
      </c>
    </row>
    <row r="67" spans="1:5">
      <c r="A67" s="295" t="str">
        <f t="shared" si="0"/>
        <v>Agar dilution</v>
      </c>
      <c r="B67" s="26" t="s">
        <v>39</v>
      </c>
      <c r="C67" s="26" t="s">
        <v>4532</v>
      </c>
      <c r="D67" s="288" t="s">
        <v>2903</v>
      </c>
      <c r="E67" s="553" t="s">
        <v>4957</v>
      </c>
    </row>
    <row r="68" spans="1:5">
      <c r="A68" s="295" t="str">
        <f t="shared" si="0"/>
        <v>STAFFING</v>
      </c>
      <c r="B68" s="26" t="s">
        <v>934</v>
      </c>
      <c r="C68" s="26" t="s">
        <v>2423</v>
      </c>
      <c r="D68" s="288" t="s">
        <v>2904</v>
      </c>
      <c r="E68" s="553" t="s">
        <v>4958</v>
      </c>
    </row>
    <row r="69" spans="1:5" ht="41.4">
      <c r="A69" s="295" t="str">
        <f t="shared" si="0"/>
        <v>Advanced degree in Med. Microbiology/Med. Lab. (PhD, MD)</v>
      </c>
      <c r="B69" s="26" t="s">
        <v>930</v>
      </c>
      <c r="C69" s="26" t="s">
        <v>4533</v>
      </c>
      <c r="D69" s="170" t="s">
        <v>3674</v>
      </c>
      <c r="E69" s="553" t="s">
        <v>4959</v>
      </c>
    </row>
    <row r="70" spans="1:5" ht="27.6">
      <c r="A70" s="295" t="str">
        <f t="shared" si="0"/>
        <v>Advanced degree, other concentration (PhD, MD)</v>
      </c>
      <c r="B70" s="26" t="s">
        <v>760</v>
      </c>
      <c r="C70" s="26" t="s">
        <v>4534</v>
      </c>
      <c r="D70" s="288" t="s">
        <v>3675</v>
      </c>
      <c r="E70" s="553" t="s">
        <v>4960</v>
      </c>
    </row>
    <row r="71" spans="1:5" ht="27.6">
      <c r="A71" s="295" t="str">
        <f t="shared" si="0"/>
        <v>Postgraduate Master's degree in Microbiology or Med. Lab. Sciences</v>
      </c>
      <c r="B71" s="26" t="s">
        <v>4961</v>
      </c>
      <c r="C71" s="26" t="s">
        <v>4962</v>
      </c>
      <c r="D71" s="170" t="s">
        <v>3676</v>
      </c>
      <c r="E71" s="553" t="s">
        <v>4963</v>
      </c>
    </row>
    <row r="72" spans="1:5" ht="27.6">
      <c r="A72" s="295" t="str">
        <f t="shared" si="0"/>
        <v>Postgraduate Master's degree, other concentration</v>
      </c>
      <c r="B72" s="26" t="s">
        <v>761</v>
      </c>
      <c r="C72" s="26" t="s">
        <v>4536</v>
      </c>
      <c r="D72" s="170" t="s">
        <v>3677</v>
      </c>
      <c r="E72" s="553" t="s">
        <v>4964</v>
      </c>
    </row>
    <row r="73" spans="1:5" ht="27.6">
      <c r="A73" s="295" t="str">
        <f t="shared" si="0"/>
        <v>Grad. Bachelor's degree in Microbiology or Med. Lab. Sciences</v>
      </c>
      <c r="B73" s="26" t="s">
        <v>932</v>
      </c>
      <c r="C73" s="26" t="s">
        <v>4537</v>
      </c>
      <c r="D73" s="170" t="s">
        <v>3678</v>
      </c>
      <c r="E73" s="553" t="s">
        <v>4965</v>
      </c>
    </row>
    <row r="74" spans="1:5" ht="27.6">
      <c r="A74" s="295" t="str">
        <f t="shared" si="0"/>
        <v>Graduate Bachelor's degree, other concentration</v>
      </c>
      <c r="B74" s="26" t="s">
        <v>763</v>
      </c>
      <c r="C74" s="26" t="s">
        <v>4538</v>
      </c>
      <c r="D74" s="170" t="s">
        <v>3679</v>
      </c>
      <c r="E74" s="553" t="s">
        <v>4966</v>
      </c>
    </row>
    <row r="75" spans="1:5" ht="41.4">
      <c r="A75" s="295" t="str">
        <f t="shared" si="0"/>
        <v>Undergraduate Certificate/Diploma in Microbiology or Med. Lab. Sciences</v>
      </c>
      <c r="B75" s="26" t="s">
        <v>4967</v>
      </c>
      <c r="C75" s="26" t="s">
        <v>4539</v>
      </c>
      <c r="D75" s="170" t="s">
        <v>3680</v>
      </c>
      <c r="E75" s="553" t="s">
        <v>4968</v>
      </c>
    </row>
    <row r="76" spans="1:5" ht="27.6">
      <c r="A76" s="295" t="str">
        <f t="shared" si="0"/>
        <v>Undergraduate Certificate or Diploma, other concentration</v>
      </c>
      <c r="B76" s="26" t="s">
        <v>765</v>
      </c>
      <c r="C76" s="26" t="s">
        <v>4540</v>
      </c>
      <c r="D76" s="170" t="s">
        <v>3681</v>
      </c>
      <c r="E76" s="553" t="s">
        <v>4969</v>
      </c>
    </row>
    <row r="77" spans="1:5" ht="27.6">
      <c r="A77" s="295" t="str">
        <f t="shared" si="0"/>
        <v>High school/Secondary school diploma</v>
      </c>
      <c r="B77" s="26" t="s">
        <v>809</v>
      </c>
      <c r="C77" s="26" t="s">
        <v>2424</v>
      </c>
      <c r="D77" s="170" t="s">
        <v>3682</v>
      </c>
      <c r="E77" s="553" t="s">
        <v>4970</v>
      </c>
    </row>
    <row r="78" spans="1:5" ht="27.6">
      <c r="A78" s="295" t="str">
        <f t="shared" si="0"/>
        <v>On-the-job training only</v>
      </c>
      <c r="B78" s="26" t="s">
        <v>808</v>
      </c>
      <c r="C78" s="360" t="s">
        <v>4971</v>
      </c>
      <c r="D78" s="170" t="s">
        <v>3683</v>
      </c>
      <c r="E78" s="553" t="s">
        <v>4972</v>
      </c>
    </row>
    <row r="79" spans="1:5">
      <c r="A79" s="295" t="str">
        <f t="shared" ref="A79:A143" si="1">IF(langue=1,B79,IF(langue=2,C79,IF(langue=3,D79,IF(langue=4,E79,F79))))</f>
        <v>Other (specify in comments)</v>
      </c>
      <c r="B79" s="26" t="s">
        <v>758</v>
      </c>
      <c r="C79" s="26" t="s">
        <v>2425</v>
      </c>
      <c r="D79" s="288" t="s">
        <v>2905</v>
      </c>
      <c r="E79" s="553" t="s">
        <v>4973</v>
      </c>
    </row>
    <row r="80" spans="1:5" ht="41.4">
      <c r="A80" s="295" t="str">
        <f t="shared" si="1"/>
        <v>Proportion of staff with Med Micro or Med Lab Training</v>
      </c>
      <c r="B80" s="26" t="s">
        <v>1565</v>
      </c>
      <c r="C80" s="26" t="s">
        <v>4541</v>
      </c>
      <c r="D80" s="170" t="s">
        <v>3684</v>
      </c>
      <c r="E80" s="553" t="s">
        <v>4974</v>
      </c>
    </row>
    <row r="81" spans="1:5" ht="27.6">
      <c r="A81" s="295" t="str">
        <f t="shared" si="1"/>
        <v>Proportion of staff with Graduate Bachelor's Degree or more</v>
      </c>
      <c r="B81" s="26" t="s">
        <v>1573</v>
      </c>
      <c r="C81" s="26" t="s">
        <v>4542</v>
      </c>
      <c r="D81" s="170" t="s">
        <v>3685</v>
      </c>
      <c r="E81" s="553" t="s">
        <v>4975</v>
      </c>
    </row>
    <row r="82" spans="1:5">
      <c r="A82" s="295" t="str">
        <f t="shared" si="1"/>
        <v>Total number of staff members</v>
      </c>
      <c r="B82" s="26" t="s">
        <v>6690</v>
      </c>
      <c r="C82" s="402" t="s">
        <v>6785</v>
      </c>
      <c r="D82" s="402" t="s">
        <v>6850</v>
      </c>
      <c r="E82" s="558" t="s">
        <v>6809</v>
      </c>
    </row>
    <row r="83" spans="1:5">
      <c r="A83" s="295" t="str">
        <f t="shared" si="1"/>
        <v>NUMBER OF FLAGS</v>
      </c>
      <c r="B83" s="26" t="s">
        <v>2195</v>
      </c>
      <c r="C83" s="26" t="s">
        <v>4976</v>
      </c>
      <c r="D83" s="170" t="s">
        <v>3686</v>
      </c>
      <c r="E83" s="553" t="s">
        <v>3686</v>
      </c>
    </row>
    <row r="84" spans="1:5">
      <c r="A84" s="295" t="str">
        <f t="shared" si="1"/>
        <v>Red Flags</v>
      </c>
      <c r="B84" s="26" t="s">
        <v>1886</v>
      </c>
      <c r="C84" s="26" t="s">
        <v>2426</v>
      </c>
      <c r="D84" s="170" t="s">
        <v>4977</v>
      </c>
      <c r="E84" s="553" t="s">
        <v>5239</v>
      </c>
    </row>
    <row r="85" spans="1:5">
      <c r="A85" s="295" t="str">
        <f t="shared" si="1"/>
        <v>Training Opportunities</v>
      </c>
      <c r="B85" s="26" t="s">
        <v>1891</v>
      </c>
      <c r="C85" s="26" t="s">
        <v>2427</v>
      </c>
      <c r="D85" s="288" t="s">
        <v>3687</v>
      </c>
      <c r="E85" s="553" t="s">
        <v>5240</v>
      </c>
    </row>
    <row r="86" spans="1:5">
      <c r="A86" s="295" t="str">
        <f t="shared" si="1"/>
        <v>System Flags</v>
      </c>
      <c r="B86" s="26" t="s">
        <v>2196</v>
      </c>
      <c r="C86" s="26" t="s">
        <v>4543</v>
      </c>
      <c r="D86" s="170" t="s">
        <v>3688</v>
      </c>
      <c r="E86" s="553" t="s">
        <v>4978</v>
      </c>
    </row>
    <row r="87" spans="1:5">
      <c r="A87" s="295" t="str">
        <f t="shared" si="1"/>
        <v>Overall Score and Module Score Summary</v>
      </c>
      <c r="B87" s="26" t="s">
        <v>7139</v>
      </c>
      <c r="C87" s="26" t="s">
        <v>7140</v>
      </c>
      <c r="D87" s="170" t="s">
        <v>7142</v>
      </c>
      <c r="E87" s="553" t="s">
        <v>7141</v>
      </c>
    </row>
    <row r="88" spans="1:5">
      <c r="A88" s="295" t="str">
        <f t="shared" si="1"/>
        <v>FACILITY</v>
      </c>
      <c r="B88" s="26" t="s">
        <v>1612</v>
      </c>
      <c r="C88" s="26" t="s">
        <v>4979</v>
      </c>
      <c r="D88" s="288" t="s">
        <v>3689</v>
      </c>
      <c r="E88" s="553" t="s">
        <v>4980</v>
      </c>
    </row>
    <row r="89" spans="1:5" ht="41.4">
      <c r="A89" s="295" t="str">
        <f t="shared" si="1"/>
        <v>2- LAB INFORMATION SYSTEM (Excluded from overall score)</v>
      </c>
      <c r="B89" s="26" t="s">
        <v>7138</v>
      </c>
      <c r="C89" s="26" t="s">
        <v>7246</v>
      </c>
      <c r="D89" s="288" t="s">
        <v>7247</v>
      </c>
      <c r="E89" s="553" t="s">
        <v>7248</v>
      </c>
    </row>
    <row r="90" spans="1:5">
      <c r="A90" s="295" t="str">
        <f t="shared" si="1"/>
        <v>DATA MANAGEMENT</v>
      </c>
      <c r="B90" s="26" t="s">
        <v>1613</v>
      </c>
      <c r="C90" s="26" t="s">
        <v>2428</v>
      </c>
      <c r="D90" s="288" t="s">
        <v>2906</v>
      </c>
      <c r="E90" s="553" t="s">
        <v>4981</v>
      </c>
    </row>
    <row r="91" spans="1:5">
      <c r="A91" s="295" t="str">
        <f t="shared" si="1"/>
        <v>QUALITY ASSURANCE</v>
      </c>
      <c r="B91" s="26" t="s">
        <v>1614</v>
      </c>
      <c r="C91" s="26" t="s">
        <v>2429</v>
      </c>
      <c r="D91" s="288" t="s">
        <v>3690</v>
      </c>
      <c r="E91" s="553" t="s">
        <v>4982</v>
      </c>
    </row>
    <row r="92" spans="1:5" ht="27.6">
      <c r="A92" s="295" t="str">
        <f t="shared" si="1"/>
        <v>MEDIA PREPARATION AND QC</v>
      </c>
      <c r="B92" s="26" t="s">
        <v>1617</v>
      </c>
      <c r="C92" s="26" t="s">
        <v>4544</v>
      </c>
      <c r="D92" s="288" t="s">
        <v>2907</v>
      </c>
      <c r="E92" s="553" t="s">
        <v>4983</v>
      </c>
    </row>
    <row r="93" spans="1:5">
      <c r="A93" s="295" t="str">
        <f t="shared" si="1"/>
        <v>ID QC</v>
      </c>
      <c r="B93" s="26" t="s">
        <v>1615</v>
      </c>
      <c r="C93" s="26" t="s">
        <v>4984</v>
      </c>
      <c r="D93" s="288" t="s">
        <v>3691</v>
      </c>
      <c r="E93" s="553" t="s">
        <v>4985</v>
      </c>
    </row>
    <row r="94" spans="1:5">
      <c r="A94" s="295" t="str">
        <f t="shared" si="1"/>
        <v>AST QC</v>
      </c>
      <c r="B94" s="26" t="s">
        <v>1616</v>
      </c>
      <c r="C94" s="26" t="s">
        <v>4545</v>
      </c>
      <c r="D94" s="288" t="s">
        <v>3692</v>
      </c>
      <c r="E94" s="553" t="s">
        <v>4986</v>
      </c>
    </row>
    <row r="95" spans="1:5" ht="27.6">
      <c r="A95" s="295" t="str">
        <f t="shared" si="1"/>
        <v>SPECIMEN COLLECTION, TRANSPORT &amp; MANAGEMENT</v>
      </c>
      <c r="B95" s="26" t="s">
        <v>1618</v>
      </c>
      <c r="C95" s="26" t="s">
        <v>2430</v>
      </c>
      <c r="D95" s="288" t="s">
        <v>2908</v>
      </c>
      <c r="E95" s="553" t="s">
        <v>4987</v>
      </c>
    </row>
    <row r="96" spans="1:5">
      <c r="A96" s="295" t="str">
        <f t="shared" si="1"/>
        <v>PROCESSING</v>
      </c>
      <c r="B96" s="26" t="s">
        <v>1619</v>
      </c>
      <c r="C96" s="26" t="s">
        <v>4988</v>
      </c>
      <c r="D96" s="170" t="s">
        <v>3693</v>
      </c>
      <c r="E96" s="553" t="s">
        <v>4989</v>
      </c>
    </row>
    <row r="97" spans="1:5">
      <c r="A97" s="295" t="str">
        <f t="shared" si="1"/>
        <v>IDENTIFICATION</v>
      </c>
      <c r="B97" s="26" t="s">
        <v>1620</v>
      </c>
      <c r="C97" s="26" t="s">
        <v>1620</v>
      </c>
      <c r="D97" s="288" t="s">
        <v>2909</v>
      </c>
      <c r="E97" s="553" t="s">
        <v>4990</v>
      </c>
    </row>
    <row r="98" spans="1:5">
      <c r="A98" s="295" t="str">
        <f t="shared" si="1"/>
        <v>BASIC AST</v>
      </c>
      <c r="B98" s="26" t="s">
        <v>1621</v>
      </c>
      <c r="C98" s="26" t="s">
        <v>4546</v>
      </c>
      <c r="D98" s="170" t="s">
        <v>3694</v>
      </c>
      <c r="E98" s="553" t="s">
        <v>4991</v>
      </c>
    </row>
    <row r="99" spans="1:5">
      <c r="A99" s="295" t="str">
        <f t="shared" si="1"/>
        <v>AST EXPERT RULES</v>
      </c>
      <c r="B99" s="26" t="s">
        <v>1622</v>
      </c>
      <c r="C99" s="26" t="s">
        <v>4992</v>
      </c>
      <c r="D99" s="170" t="s">
        <v>3695</v>
      </c>
      <c r="E99" s="553" t="s">
        <v>4993</v>
      </c>
    </row>
    <row r="100" spans="1:5">
      <c r="A100" s="295" t="str">
        <f t="shared" si="1"/>
        <v>AST PANELS, POLICY AND ANALYSIS</v>
      </c>
      <c r="B100" s="26" t="s">
        <v>1700</v>
      </c>
      <c r="C100" s="26" t="s">
        <v>4994</v>
      </c>
      <c r="D100" s="170" t="s">
        <v>3696</v>
      </c>
      <c r="E100" s="553" t="s">
        <v>4995</v>
      </c>
    </row>
    <row r="101" spans="1:5">
      <c r="A101" s="295" t="str">
        <f t="shared" si="1"/>
        <v xml:space="preserve">SAFETY </v>
      </c>
      <c r="B101" s="26" t="s">
        <v>1623</v>
      </c>
      <c r="C101" s="26" t="s">
        <v>2431</v>
      </c>
      <c r="D101" s="288" t="s">
        <v>3697</v>
      </c>
      <c r="E101" s="553" t="s">
        <v>4996</v>
      </c>
    </row>
    <row r="102" spans="1:5">
      <c r="A102" s="295" t="str">
        <f t="shared" si="1"/>
        <v>1- FACILITY</v>
      </c>
      <c r="B102" s="26" t="s">
        <v>320</v>
      </c>
      <c r="C102" s="26" t="s">
        <v>4997</v>
      </c>
      <c r="D102" s="288" t="s">
        <v>3698</v>
      </c>
      <c r="E102" s="553" t="s">
        <v>4998</v>
      </c>
    </row>
    <row r="103" spans="1:5">
      <c r="A103" s="295" t="str">
        <f t="shared" si="1"/>
        <v>LABORATORY FACILITY</v>
      </c>
      <c r="B103" s="26" t="s">
        <v>15</v>
      </c>
      <c r="C103" s="26" t="s">
        <v>4547</v>
      </c>
      <c r="D103" s="288" t="s">
        <v>3699</v>
      </c>
      <c r="E103" s="553" t="s">
        <v>4999</v>
      </c>
    </row>
    <row r="104" spans="1:5" ht="27.6">
      <c r="A104" s="295" t="str">
        <f t="shared" si="1"/>
        <v>GENERAL EQUIPMENT AVAILABILITY</v>
      </c>
      <c r="B104" s="26" t="s">
        <v>643</v>
      </c>
      <c r="C104" s="26" t="s">
        <v>5000</v>
      </c>
      <c r="D104" s="288" t="s">
        <v>3700</v>
      </c>
      <c r="E104" s="553" t="s">
        <v>5001</v>
      </c>
    </row>
    <row r="105" spans="1:5" ht="27.6">
      <c r="A105" s="295" t="str">
        <f t="shared" si="1"/>
        <v>MEDIA PREPARATION EQUIPMENT AVAILABILITY</v>
      </c>
      <c r="B105" s="26" t="s">
        <v>669</v>
      </c>
      <c r="C105" s="26" t="s">
        <v>4548</v>
      </c>
      <c r="D105" s="288" t="s">
        <v>3701</v>
      </c>
      <c r="E105" s="553" t="s">
        <v>5002</v>
      </c>
    </row>
    <row r="106" spans="1:5" ht="27.6">
      <c r="A106" s="295" t="str">
        <f t="shared" si="1"/>
        <v>EQUIPMENT CALIBRATION  RECORDS</v>
      </c>
      <c r="B106" s="26" t="s">
        <v>673</v>
      </c>
      <c r="C106" s="26" t="s">
        <v>5003</v>
      </c>
      <c r="D106" s="288" t="s">
        <v>3702</v>
      </c>
      <c r="E106" s="553" t="s">
        <v>5004</v>
      </c>
    </row>
    <row r="107" spans="1:5">
      <c r="A107" s="295" t="str">
        <f t="shared" si="1"/>
        <v>THERMOMETERS</v>
      </c>
      <c r="B107" s="26" t="s">
        <v>670</v>
      </c>
      <c r="C107" s="26" t="s">
        <v>2432</v>
      </c>
      <c r="D107" s="288" t="s">
        <v>3703</v>
      </c>
      <c r="E107" s="553" t="s">
        <v>5005</v>
      </c>
    </row>
    <row r="108" spans="1:5" ht="27.6">
      <c r="A108" s="295" t="str">
        <f t="shared" si="1"/>
        <v>TEMPERATURE AND ATMOSPHERE MONITORING</v>
      </c>
      <c r="B108" s="26" t="s">
        <v>646</v>
      </c>
      <c r="C108" s="26" t="s">
        <v>2433</v>
      </c>
      <c r="D108" s="288" t="s">
        <v>3704</v>
      </c>
      <c r="E108" s="553" t="s">
        <v>5006</v>
      </c>
    </row>
    <row r="109" spans="1:5">
      <c r="A109" s="295" t="str">
        <f t="shared" si="1"/>
        <v>Temperature recorded</v>
      </c>
      <c r="B109" s="26" t="s">
        <v>910</v>
      </c>
      <c r="C109" s="26" t="s">
        <v>5007</v>
      </c>
      <c r="D109" s="288" t="s">
        <v>2910</v>
      </c>
      <c r="E109" s="553" t="s">
        <v>2910</v>
      </c>
    </row>
    <row r="110" spans="1:5">
      <c r="A110" s="295" t="str">
        <f t="shared" si="1"/>
        <v>Ranges defined</v>
      </c>
      <c r="B110" s="26" t="s">
        <v>909</v>
      </c>
      <c r="C110" s="26" t="s">
        <v>5008</v>
      </c>
      <c r="D110" s="288" t="s">
        <v>2911</v>
      </c>
      <c r="E110" s="553" t="s">
        <v>5009</v>
      </c>
    </row>
    <row r="111" spans="1:5">
      <c r="A111" s="295" t="str">
        <f t="shared" si="1"/>
        <v>AUTOCLAVE MANAGEMENT</v>
      </c>
      <c r="B111" s="26" t="s">
        <v>645</v>
      </c>
      <c r="C111" s="26" t="s">
        <v>4550</v>
      </c>
      <c r="D111" s="288" t="s">
        <v>3705</v>
      </c>
      <c r="E111" s="553" t="s">
        <v>5010</v>
      </c>
    </row>
    <row r="112" spans="1:5" ht="27.6">
      <c r="A112" s="295" t="str">
        <f t="shared" si="1"/>
        <v>AUTOMATED EQUIPMENT AVAILABILITY AND MAINTENANCE</v>
      </c>
      <c r="B112" s="26" t="s">
        <v>671</v>
      </c>
      <c r="C112" s="26" t="s">
        <v>5011</v>
      </c>
      <c r="D112" s="288" t="s">
        <v>2913</v>
      </c>
      <c r="E112" s="553" t="s">
        <v>5012</v>
      </c>
    </row>
    <row r="113" spans="1:5">
      <c r="A113" s="295" t="str">
        <f t="shared" si="1"/>
        <v>INVENTORY &amp; STOCK OUTS</v>
      </c>
      <c r="B113" s="26" t="s">
        <v>2091</v>
      </c>
      <c r="C113" s="26" t="s">
        <v>5013</v>
      </c>
      <c r="D113" s="170" t="s">
        <v>3706</v>
      </c>
      <c r="E113" s="553" t="s">
        <v>5014</v>
      </c>
    </row>
    <row r="114" spans="1:5" ht="27.6">
      <c r="A114" s="295" t="str">
        <f t="shared" si="1"/>
        <v>2- LAB INFORMATION SYSTEM</v>
      </c>
      <c r="B114" s="26" t="s">
        <v>1543</v>
      </c>
      <c r="C114" s="26" t="s">
        <v>2435</v>
      </c>
      <c r="D114" s="288" t="s">
        <v>2914</v>
      </c>
      <c r="E114" s="553" t="s">
        <v>5015</v>
      </c>
    </row>
    <row r="115" spans="1:5" ht="27.6">
      <c r="A115" s="295" t="str">
        <f t="shared" si="1"/>
        <v>DEMOGRAPHIC DATA FIELDS</v>
      </c>
      <c r="B115" s="26" t="s">
        <v>778</v>
      </c>
      <c r="C115" s="26" t="s">
        <v>2436</v>
      </c>
      <c r="D115" s="170" t="s">
        <v>3707</v>
      </c>
      <c r="E115" s="553" t="s">
        <v>5016</v>
      </c>
    </row>
    <row r="116" spans="1:5">
      <c r="A116" s="295" t="str">
        <f t="shared" si="1"/>
        <v>SPECIMEN DATA FIELDS</v>
      </c>
      <c r="B116" s="26" t="s">
        <v>783</v>
      </c>
      <c r="C116" s="26" t="s">
        <v>4551</v>
      </c>
      <c r="D116" s="288" t="s">
        <v>3708</v>
      </c>
      <c r="E116" s="553" t="s">
        <v>5017</v>
      </c>
    </row>
    <row r="117" spans="1:5" ht="27.6">
      <c r="A117" s="295" t="str">
        <f t="shared" si="1"/>
        <v>CULTURE OBSERVATION DATA FIELDS</v>
      </c>
      <c r="B117" s="26" t="s">
        <v>1576</v>
      </c>
      <c r="C117" s="26" t="s">
        <v>4631</v>
      </c>
      <c r="D117" s="288" t="s">
        <v>3977</v>
      </c>
      <c r="E117" s="553" t="s">
        <v>6810</v>
      </c>
    </row>
    <row r="118" spans="1:5">
      <c r="A118" s="295" t="str">
        <f t="shared" si="1"/>
        <v>AST DATA FIELDS</v>
      </c>
      <c r="B118" s="26" t="s">
        <v>707</v>
      </c>
      <c r="C118" s="26" t="s">
        <v>4552</v>
      </c>
      <c r="D118" s="288" t="s">
        <v>3709</v>
      </c>
      <c r="E118" s="553" t="s">
        <v>5019</v>
      </c>
    </row>
    <row r="119" spans="1:5" ht="27.6">
      <c r="A119" s="295" t="str">
        <f t="shared" si="1"/>
        <v>REPORTS AND DATA TRANSFER CAPABILITIES</v>
      </c>
      <c r="B119" s="26" t="s">
        <v>740</v>
      </c>
      <c r="C119" s="26" t="s">
        <v>2437</v>
      </c>
      <c r="D119" s="170" t="s">
        <v>3710</v>
      </c>
      <c r="E119" s="553" t="s">
        <v>5020</v>
      </c>
    </row>
    <row r="120" spans="1:5">
      <c r="A120" s="295" t="str">
        <f t="shared" si="1"/>
        <v>INTERFACE CONNECTIVITY</v>
      </c>
      <c r="B120" s="26" t="s">
        <v>777</v>
      </c>
      <c r="C120" s="26" t="s">
        <v>4553</v>
      </c>
      <c r="D120" s="288" t="s">
        <v>2917</v>
      </c>
      <c r="E120" s="553" t="s">
        <v>5021</v>
      </c>
    </row>
    <row r="121" spans="1:5">
      <c r="A121" s="295" t="str">
        <f t="shared" si="1"/>
        <v>3- DATA MANAGEMENT</v>
      </c>
      <c r="B121" s="26" t="s">
        <v>917</v>
      </c>
      <c r="C121" s="26" t="s">
        <v>2438</v>
      </c>
      <c r="D121" s="288" t="s">
        <v>2918</v>
      </c>
      <c r="E121" s="553" t="s">
        <v>5022</v>
      </c>
    </row>
    <row r="122" spans="1:5" ht="27.6">
      <c r="A122" s="295" t="str">
        <f t="shared" si="1"/>
        <v>PATIENT AND SPECIMEN IDENTIFICATION</v>
      </c>
      <c r="B122" s="26" t="s">
        <v>665</v>
      </c>
      <c r="C122" s="26" t="s">
        <v>2439</v>
      </c>
      <c r="D122" s="288" t="s">
        <v>2919</v>
      </c>
      <c r="E122" s="553" t="s">
        <v>5023</v>
      </c>
    </row>
    <row r="123" spans="1:5" ht="27.6">
      <c r="A123" s="295" t="str">
        <f t="shared" si="1"/>
        <v>SPECIMEN REQUISITION FORM</v>
      </c>
      <c r="B123" s="26" t="s">
        <v>797</v>
      </c>
      <c r="C123" s="26" t="s">
        <v>2440</v>
      </c>
      <c r="D123" s="288" t="s">
        <v>2920</v>
      </c>
      <c r="E123" s="553" t="s">
        <v>5024</v>
      </c>
    </row>
    <row r="124" spans="1:5">
      <c r="A124" s="295" t="str">
        <f t="shared" si="1"/>
        <v>ORDER ENTRY</v>
      </c>
      <c r="B124" s="26" t="s">
        <v>692</v>
      </c>
      <c r="C124" s="26" t="s">
        <v>4554</v>
      </c>
      <c r="D124" s="170" t="s">
        <v>3711</v>
      </c>
      <c r="E124" s="553" t="s">
        <v>5025</v>
      </c>
    </row>
    <row r="125" spans="1:5">
      <c r="A125" s="295" t="str">
        <f t="shared" si="1"/>
        <v>CULTURE OBSERVATIONS</v>
      </c>
      <c r="B125" s="26" t="s">
        <v>693</v>
      </c>
      <c r="C125" s="26" t="s">
        <v>2441</v>
      </c>
      <c r="D125" s="288" t="s">
        <v>3712</v>
      </c>
      <c r="E125" s="553" t="s">
        <v>5026</v>
      </c>
    </row>
    <row r="126" spans="1:5">
      <c r="A126" s="295" t="str">
        <f t="shared" si="1"/>
        <v>AST RESULTS REPORTING</v>
      </c>
      <c r="B126" s="26" t="s">
        <v>803</v>
      </c>
      <c r="C126" s="26" t="s">
        <v>5027</v>
      </c>
      <c r="D126" s="288" t="s">
        <v>3713</v>
      </c>
      <c r="E126" s="553" t="s">
        <v>5028</v>
      </c>
    </row>
    <row r="127" spans="1:5" ht="27.6">
      <c r="A127" s="295" t="str">
        <f t="shared" si="1"/>
        <v>DATA BACKUP &amp; SECURITY</v>
      </c>
      <c r="B127" s="26" t="s">
        <v>702</v>
      </c>
      <c r="C127" s="26" t="s">
        <v>2442</v>
      </c>
      <c r="D127" s="170" t="s">
        <v>3714</v>
      </c>
      <c r="E127" s="553" t="s">
        <v>5029</v>
      </c>
    </row>
    <row r="128" spans="1:5">
      <c r="A128" s="295" t="str">
        <f t="shared" si="1"/>
        <v xml:space="preserve">AMR DATA SHARING </v>
      </c>
      <c r="B128" s="26" t="s">
        <v>1698</v>
      </c>
      <c r="C128" s="26" t="s">
        <v>4555</v>
      </c>
      <c r="D128" s="170" t="s">
        <v>3715</v>
      </c>
      <c r="E128" s="553" t="s">
        <v>5030</v>
      </c>
    </row>
    <row r="129" spans="1:5">
      <c r="A129" s="295" t="str">
        <f t="shared" si="1"/>
        <v>4- QUALITY ASSURANCE</v>
      </c>
      <c r="B129" s="26" t="s">
        <v>916</v>
      </c>
      <c r="C129" s="26" t="s">
        <v>2443</v>
      </c>
      <c r="D129" s="288" t="s">
        <v>2921</v>
      </c>
      <c r="E129" s="553" t="s">
        <v>5031</v>
      </c>
    </row>
    <row r="130" spans="1:5" ht="27.6">
      <c r="A130" s="295" t="str">
        <f t="shared" si="1"/>
        <v>QUALITY STRUCTURE/BASICS</v>
      </c>
      <c r="B130" s="26" t="s">
        <v>767</v>
      </c>
      <c r="C130" s="26" t="s">
        <v>5032</v>
      </c>
      <c r="D130" s="170" t="s">
        <v>2922</v>
      </c>
      <c r="E130" s="553" t="s">
        <v>6811</v>
      </c>
    </row>
    <row r="131" spans="1:5" ht="41.4">
      <c r="A131" s="295" t="str">
        <f t="shared" si="1"/>
        <v>LABORATORY STAFF EDUCATION/TRAINING/COMPETENCY</v>
      </c>
      <c r="B131" s="26" t="s">
        <v>841</v>
      </c>
      <c r="C131" s="26" t="s">
        <v>4556</v>
      </c>
      <c r="D131" s="288" t="s">
        <v>3716</v>
      </c>
      <c r="E131" s="553" t="s">
        <v>5034</v>
      </c>
    </row>
    <row r="132" spans="1:5" ht="41.4">
      <c r="A132" s="295" t="str">
        <f t="shared" si="1"/>
        <v>TOUBLESHOOTING, PROBLEM SOLVING, AND ROOT CAUSE ANALYSES</v>
      </c>
      <c r="B132" s="26" t="s">
        <v>854</v>
      </c>
      <c r="C132" s="26" t="s">
        <v>5035</v>
      </c>
      <c r="D132" s="170" t="s">
        <v>3717</v>
      </c>
      <c r="E132" s="553" t="s">
        <v>5036</v>
      </c>
    </row>
    <row r="133" spans="1:5" ht="27.6">
      <c r="A133" s="295" t="str">
        <f t="shared" si="1"/>
        <v>EXTERNAL QUALITY ASSESSMENT (EQA)</v>
      </c>
      <c r="B133" s="26" t="s">
        <v>2274</v>
      </c>
      <c r="C133" s="26" t="s">
        <v>4557</v>
      </c>
      <c r="D133" s="288" t="s">
        <v>3718</v>
      </c>
      <c r="E133" s="553" t="s">
        <v>5037</v>
      </c>
    </row>
    <row r="134" spans="1:5">
      <c r="A134" s="295" t="str">
        <f t="shared" si="1"/>
        <v xml:space="preserve">5- QUALITY CONTROL - MEDIA </v>
      </c>
      <c r="B134" s="26" t="s">
        <v>922</v>
      </c>
      <c r="C134" s="26" t="s">
        <v>4558</v>
      </c>
      <c r="D134" s="288" t="s">
        <v>2924</v>
      </c>
      <c r="E134" s="553" t="s">
        <v>5038</v>
      </c>
    </row>
    <row r="135" spans="1:5">
      <c r="A135" s="295" t="str">
        <f t="shared" si="1"/>
        <v>MEDIA PREPARATION SOPs</v>
      </c>
      <c r="B135" s="26" t="s">
        <v>849</v>
      </c>
      <c r="C135" s="26" t="s">
        <v>5039</v>
      </c>
      <c r="D135" s="170" t="s">
        <v>3719</v>
      </c>
      <c r="E135" s="553" t="s">
        <v>5040</v>
      </c>
    </row>
    <row r="136" spans="1:5">
      <c r="A136" s="295" t="str">
        <f t="shared" si="1"/>
        <v xml:space="preserve">GENERAL MEDIA PREPARATION </v>
      </c>
      <c r="B136" s="26" t="s">
        <v>717</v>
      </c>
      <c r="C136" s="26" t="s">
        <v>5041</v>
      </c>
      <c r="D136" s="288" t="s">
        <v>2925</v>
      </c>
      <c r="E136" s="553" t="s">
        <v>5042</v>
      </c>
    </row>
    <row r="137" spans="1:5" ht="27.6">
      <c r="A137" s="295" t="str">
        <f t="shared" si="1"/>
        <v xml:space="preserve">DISTILLED/DEIONIZED WATER PREPARATION </v>
      </c>
      <c r="B137" s="26" t="s">
        <v>1556</v>
      </c>
      <c r="C137" s="26" t="s">
        <v>5043</v>
      </c>
      <c r="D137" s="288" t="s">
        <v>2926</v>
      </c>
      <c r="E137" s="553" t="s">
        <v>5044</v>
      </c>
    </row>
    <row r="138" spans="1:5">
      <c r="A138" s="295" t="str">
        <f t="shared" si="1"/>
        <v>ROUTINE MEDIA QC</v>
      </c>
      <c r="B138" s="26" t="s">
        <v>725</v>
      </c>
      <c r="C138" s="26" t="s">
        <v>5045</v>
      </c>
      <c r="D138" s="170" t="s">
        <v>3720</v>
      </c>
      <c r="E138" s="553" t="s">
        <v>5046</v>
      </c>
    </row>
    <row r="139" spans="1:5" ht="27.6">
      <c r="A139" s="295" t="str">
        <f t="shared" si="1"/>
        <v>MULLER HINTON MEDIA PREPARATION AND QC</v>
      </c>
      <c r="B139" s="26" t="s">
        <v>851</v>
      </c>
      <c r="C139" s="26" t="s">
        <v>5047</v>
      </c>
      <c r="D139" s="288" t="s">
        <v>3721</v>
      </c>
      <c r="E139" s="553" t="s">
        <v>5048</v>
      </c>
    </row>
    <row r="140" spans="1:5" ht="27.6">
      <c r="A140" s="295" t="str">
        <f t="shared" si="1"/>
        <v>BLOOD CULTURE BOTTLES PREPARATION AND QC</v>
      </c>
      <c r="B140" s="26" t="s">
        <v>911</v>
      </c>
      <c r="C140" s="26" t="s">
        <v>5049</v>
      </c>
      <c r="D140" s="288" t="s">
        <v>3722</v>
      </c>
      <c r="E140" s="553" t="s">
        <v>5050</v>
      </c>
    </row>
    <row r="141" spans="1:5" ht="27.6">
      <c r="A141" s="295" t="str">
        <f t="shared" si="1"/>
        <v>6- QUALITY CONTROL - IDENTIFICATION</v>
      </c>
      <c r="B141" s="26" t="s">
        <v>923</v>
      </c>
      <c r="C141" s="26" t="s">
        <v>2445</v>
      </c>
      <c r="D141" s="288" t="s">
        <v>2927</v>
      </c>
      <c r="E141" s="553" t="s">
        <v>5051</v>
      </c>
    </row>
    <row r="142" spans="1:5" ht="27.6">
      <c r="A142" s="295" t="str">
        <f t="shared" si="1"/>
        <v>GRAM STAIN QC and REAGENT LABELING AND STORAGE</v>
      </c>
      <c r="B142" s="26" t="s">
        <v>853</v>
      </c>
      <c r="C142" s="26" t="s">
        <v>5052</v>
      </c>
      <c r="D142" s="170" t="s">
        <v>3723</v>
      </c>
      <c r="E142" s="553" t="s">
        <v>5053</v>
      </c>
    </row>
    <row r="143" spans="1:5" ht="27.6">
      <c r="A143" s="295" t="str">
        <f t="shared" si="1"/>
        <v>QC OF INDIVIDUAL BIOCHEMICAL METHODS</v>
      </c>
      <c r="B143" s="26" t="s">
        <v>728</v>
      </c>
      <c r="C143" s="26" t="s">
        <v>5054</v>
      </c>
      <c r="D143" s="288" t="s">
        <v>3724</v>
      </c>
      <c r="E143" s="553" t="s">
        <v>5055</v>
      </c>
    </row>
    <row r="144" spans="1:5">
      <c r="A144" s="295" t="str">
        <f t="shared" ref="A144:A207" si="2">IF(langue=1,B144,IF(langue=2,C144,IF(langue=3,D144,IF(langue=4,E144,F144))))</f>
        <v>Positive controls are in use</v>
      </c>
      <c r="B144" s="26" t="s">
        <v>1893</v>
      </c>
      <c r="C144" s="26" t="s">
        <v>4560</v>
      </c>
      <c r="D144" s="288" t="s">
        <v>2928</v>
      </c>
      <c r="E144" s="553" t="s">
        <v>5056</v>
      </c>
    </row>
    <row r="145" spans="1:5">
      <c r="A145" s="295" t="str">
        <f t="shared" si="2"/>
        <v>Negative controls are in use</v>
      </c>
      <c r="B145" s="26" t="s">
        <v>1894</v>
      </c>
      <c r="C145" s="26" t="s">
        <v>4561</v>
      </c>
      <c r="D145" s="288" t="s">
        <v>2929</v>
      </c>
      <c r="E145" s="553" t="s">
        <v>5057</v>
      </c>
    </row>
    <row r="146" spans="1:5" ht="27.6">
      <c r="A146" s="295" t="str">
        <f t="shared" si="2"/>
        <v>QC is performed on each new batch/lot number</v>
      </c>
      <c r="B146" s="26" t="s">
        <v>716</v>
      </c>
      <c r="C146" s="26" t="s">
        <v>4562</v>
      </c>
      <c r="D146" s="170" t="s">
        <v>3725</v>
      </c>
      <c r="E146" s="553" t="s">
        <v>5058</v>
      </c>
    </row>
    <row r="147" spans="1:5" ht="27.6">
      <c r="A147" s="295" t="str">
        <f t="shared" si="2"/>
        <v>QC is performed using ATCC or ATCC-derivative strains</v>
      </c>
      <c r="B147" s="26" t="s">
        <v>727</v>
      </c>
      <c r="C147" s="26" t="s">
        <v>2447</v>
      </c>
      <c r="D147" s="288" t="s">
        <v>3726</v>
      </c>
      <c r="E147" s="553" t="s">
        <v>5059</v>
      </c>
    </row>
    <row r="148" spans="1:5" ht="27.6">
      <c r="A148" s="295" t="str">
        <f t="shared" si="2"/>
        <v>QC OF ENTERIC SEROLOGY</v>
      </c>
      <c r="B148" s="26" t="s">
        <v>729</v>
      </c>
      <c r="C148" s="360" t="s">
        <v>4563</v>
      </c>
      <c r="D148" s="170" t="s">
        <v>3727</v>
      </c>
      <c r="E148" s="553" t="s">
        <v>5060</v>
      </c>
    </row>
    <row r="149" spans="1:5" ht="41.4">
      <c r="A149" s="295" t="str">
        <f t="shared" si="2"/>
        <v>QC OF COMMERCIAL ID KITS and AUTOMATED ID SYSTEMS</v>
      </c>
      <c r="B149" s="26" t="s">
        <v>730</v>
      </c>
      <c r="C149" s="26" t="s">
        <v>5061</v>
      </c>
      <c r="D149" s="288" t="s">
        <v>3728</v>
      </c>
      <c r="E149" s="553" t="s">
        <v>5062</v>
      </c>
    </row>
    <row r="150" spans="1:5">
      <c r="A150" s="295" t="str">
        <f t="shared" si="2"/>
        <v>7- QUALITY CONTROL - AST</v>
      </c>
      <c r="B150" s="26" t="s">
        <v>924</v>
      </c>
      <c r="C150" s="26" t="s">
        <v>4564</v>
      </c>
      <c r="D150" s="288" t="s">
        <v>3729</v>
      </c>
      <c r="E150" s="553" t="s">
        <v>5063</v>
      </c>
    </row>
    <row r="151" spans="1:5" ht="27.6">
      <c r="A151" s="295" t="str">
        <f t="shared" si="2"/>
        <v>ROUTINE AST REFERENCE STRAINS</v>
      </c>
      <c r="B151" s="26" t="s">
        <v>861</v>
      </c>
      <c r="C151" s="26" t="s">
        <v>5064</v>
      </c>
      <c r="D151" s="288" t="s">
        <v>3730</v>
      </c>
      <c r="E151" s="553" t="s">
        <v>5065</v>
      </c>
    </row>
    <row r="152" spans="1:5" ht="27.6">
      <c r="A152" s="295" t="str">
        <f t="shared" si="2"/>
        <v>SPECIAL AST REFERENCE STRAINS</v>
      </c>
      <c r="B152" s="26" t="s">
        <v>862</v>
      </c>
      <c r="C152" s="26" t="s">
        <v>5066</v>
      </c>
      <c r="D152" s="170" t="s">
        <v>3731</v>
      </c>
      <c r="E152" s="553" t="s">
        <v>5067</v>
      </c>
    </row>
    <row r="153" spans="1:5" ht="27.6">
      <c r="A153" s="295" t="str">
        <f t="shared" si="2"/>
        <v>QC OF DISC DIFFUSION AST METHODS</v>
      </c>
      <c r="B153" s="26" t="s">
        <v>648</v>
      </c>
      <c r="C153" s="26" t="s">
        <v>5068</v>
      </c>
      <c r="D153" s="288" t="s">
        <v>3732</v>
      </c>
      <c r="E153" s="553" t="s">
        <v>5069</v>
      </c>
    </row>
    <row r="154" spans="1:5" ht="27.6">
      <c r="A154" s="295" t="str">
        <f t="shared" si="2"/>
        <v>QC OF GRADIENT STRIP AST METHODS</v>
      </c>
      <c r="B154" s="26" t="s">
        <v>649</v>
      </c>
      <c r="C154" s="26" t="s">
        <v>5070</v>
      </c>
      <c r="D154" s="288" t="s">
        <v>3733</v>
      </c>
      <c r="E154" s="553" t="s">
        <v>5071</v>
      </c>
    </row>
    <row r="155" spans="1:5" ht="27.6">
      <c r="A155" s="295" t="str">
        <f t="shared" si="2"/>
        <v>QC OF AUTOMATED AST SYSTEMS</v>
      </c>
      <c r="B155" s="26" t="s">
        <v>731</v>
      </c>
      <c r="C155" s="26" t="s">
        <v>5072</v>
      </c>
      <c r="D155" s="170" t="s">
        <v>3734</v>
      </c>
      <c r="E155" s="553" t="s">
        <v>5073</v>
      </c>
    </row>
    <row r="156" spans="1:5" ht="27.6">
      <c r="A156" s="295" t="str">
        <f t="shared" si="2"/>
        <v>8- SPECIMEN COLLECTION, TRANSPORT &amp; MANAGEMENT</v>
      </c>
      <c r="B156" s="26" t="s">
        <v>1857</v>
      </c>
      <c r="C156" s="26" t="s">
        <v>2448</v>
      </c>
      <c r="D156" s="288" t="s">
        <v>2930</v>
      </c>
      <c r="E156" s="553" t="s">
        <v>5074</v>
      </c>
    </row>
    <row r="157" spans="1:5">
      <c r="A157" s="295" t="str">
        <f t="shared" si="2"/>
        <v>SPECIMEN MANAGEMENT</v>
      </c>
      <c r="B157" s="26" t="s">
        <v>890</v>
      </c>
      <c r="C157" s="26" t="s">
        <v>2449</v>
      </c>
      <c r="D157" s="288" t="s">
        <v>2931</v>
      </c>
      <c r="E157" s="553" t="s">
        <v>5075</v>
      </c>
    </row>
    <row r="158" spans="1:5">
      <c r="A158" s="295" t="str">
        <f t="shared" si="2"/>
        <v>SPECIMEN REJECTION</v>
      </c>
      <c r="B158" s="26" t="s">
        <v>891</v>
      </c>
      <c r="C158" s="26" t="s">
        <v>2450</v>
      </c>
      <c r="D158" s="288" t="s">
        <v>2932</v>
      </c>
      <c r="E158" s="553" t="s">
        <v>5076</v>
      </c>
    </row>
    <row r="159" spans="1:5" ht="27.6">
      <c r="A159" s="295" t="str">
        <f t="shared" si="2"/>
        <v>BLOOD SPECIMEN COLLECTION and TRANSPORT</v>
      </c>
      <c r="B159" s="26" t="s">
        <v>893</v>
      </c>
      <c r="C159" s="26" t="s">
        <v>2451</v>
      </c>
      <c r="D159" s="288" t="s">
        <v>2933</v>
      </c>
      <c r="E159" s="553" t="s">
        <v>5077</v>
      </c>
    </row>
    <row r="160" spans="1:5" ht="27.6">
      <c r="A160" s="295" t="str">
        <f t="shared" si="2"/>
        <v>URINE SPECIMEN COLLECTION and TRANSPORT</v>
      </c>
      <c r="B160" s="26" t="s">
        <v>894</v>
      </c>
      <c r="C160" s="26" t="s">
        <v>5078</v>
      </c>
      <c r="D160" s="288" t="s">
        <v>2934</v>
      </c>
      <c r="E160" s="553" t="s">
        <v>5079</v>
      </c>
    </row>
    <row r="161" spans="1:5" ht="27.6">
      <c r="A161" s="295" t="str">
        <f t="shared" si="2"/>
        <v>STOOL SPECIMEN COLLECTION and TRANSPORT</v>
      </c>
      <c r="B161" s="26" t="s">
        <v>895</v>
      </c>
      <c r="C161" s="26" t="s">
        <v>5080</v>
      </c>
      <c r="D161" s="288" t="s">
        <v>3735</v>
      </c>
      <c r="E161" s="553" t="s">
        <v>5081</v>
      </c>
    </row>
    <row r="162" spans="1:5">
      <c r="A162" s="295" t="str">
        <f t="shared" si="2"/>
        <v>9- PROCESSING</v>
      </c>
      <c r="B162" s="26" t="s">
        <v>920</v>
      </c>
      <c r="C162" s="26" t="s">
        <v>5082</v>
      </c>
      <c r="D162" s="288" t="s">
        <v>2935</v>
      </c>
      <c r="E162" s="553" t="s">
        <v>5083</v>
      </c>
    </row>
    <row r="163" spans="1:5">
      <c r="A163" s="295" t="str">
        <f t="shared" si="2"/>
        <v>BLOOD CULTURE PROCESSING</v>
      </c>
      <c r="B163" s="26" t="s">
        <v>757</v>
      </c>
      <c r="C163" s="26" t="s">
        <v>4565</v>
      </c>
      <c r="D163" s="288" t="s">
        <v>3736</v>
      </c>
      <c r="E163" s="553" t="s">
        <v>5084</v>
      </c>
    </row>
    <row r="164" spans="1:5" ht="27.6">
      <c r="A164" s="295" t="str">
        <f t="shared" si="2"/>
        <v>MANUAL BLOOD CULTURE SYSTEMS</v>
      </c>
      <c r="B164" s="26" t="s">
        <v>756</v>
      </c>
      <c r="C164" s="26" t="s">
        <v>4566</v>
      </c>
      <c r="D164" s="288" t="s">
        <v>3737</v>
      </c>
      <c r="E164" s="553" t="s">
        <v>5085</v>
      </c>
    </row>
    <row r="165" spans="1:5">
      <c r="A165" s="295" t="str">
        <f t="shared" si="2"/>
        <v>URINE CULTURE</v>
      </c>
      <c r="B165" s="26" t="s">
        <v>48</v>
      </c>
      <c r="C165" s="26" t="s">
        <v>5086</v>
      </c>
      <c r="D165" s="288" t="s">
        <v>3738</v>
      </c>
      <c r="E165" s="553" t="s">
        <v>5087</v>
      </c>
    </row>
    <row r="166" spans="1:5" ht="27.6">
      <c r="A166" s="295" t="str">
        <f t="shared" si="2"/>
        <v>STOOL CULTURE for Salmonella and Shigella</v>
      </c>
      <c r="B166" s="26" t="s">
        <v>2398</v>
      </c>
      <c r="C166" s="26" t="s">
        <v>5088</v>
      </c>
      <c r="D166" s="288" t="s">
        <v>3739</v>
      </c>
      <c r="E166" s="553" t="s">
        <v>5089</v>
      </c>
    </row>
    <row r="167" spans="1:5">
      <c r="A167" s="295" t="str">
        <f t="shared" si="2"/>
        <v>10- IDENTIFICATION METHODS &amp; SOPs</v>
      </c>
      <c r="B167" s="26" t="s">
        <v>2095</v>
      </c>
      <c r="C167" s="26" t="s">
        <v>4567</v>
      </c>
      <c r="D167" s="288" t="s">
        <v>3740</v>
      </c>
      <c r="E167" s="553" t="s">
        <v>5090</v>
      </c>
    </row>
    <row r="168" spans="1:5" ht="41.4">
      <c r="A168" s="295" t="str">
        <f t="shared" si="2"/>
        <v>CONVENTIONAL ID METHODS - SOP SCORE SUMMARY</v>
      </c>
      <c r="B168" s="26" t="s">
        <v>2097</v>
      </c>
      <c r="C168" s="26" t="s">
        <v>5091</v>
      </c>
      <c r="D168" s="288" t="s">
        <v>3741</v>
      </c>
      <c r="E168" s="553" t="s">
        <v>5092</v>
      </c>
    </row>
    <row r="169" spans="1:5" ht="27.6">
      <c r="A169" s="295" t="str">
        <f t="shared" si="2"/>
        <v>Fully implemented*, up-to-date SOP</v>
      </c>
      <c r="B169" s="26" t="s">
        <v>2098</v>
      </c>
      <c r="C169" s="26" t="s">
        <v>5093</v>
      </c>
      <c r="D169" s="288" t="s">
        <v>3742</v>
      </c>
      <c r="E169" s="553" t="s">
        <v>5094</v>
      </c>
    </row>
    <row r="170" spans="1:5" ht="27.6">
      <c r="A170" s="295" t="str">
        <f t="shared" si="2"/>
        <v>SOP is readily available** to bench staff</v>
      </c>
      <c r="B170" s="26" t="s">
        <v>2099</v>
      </c>
      <c r="C170" s="26" t="s">
        <v>5095</v>
      </c>
      <c r="D170" s="170" t="s">
        <v>3743</v>
      </c>
      <c r="E170" s="553" t="s">
        <v>5096</v>
      </c>
    </row>
    <row r="171" spans="1:5" ht="13.8" customHeight="1">
      <c r="A171" s="295" t="str">
        <f t="shared" si="2"/>
        <v>SOP defines QC organisms, frequency, and expected results</v>
      </c>
      <c r="B171" s="26" t="s">
        <v>2100</v>
      </c>
      <c r="C171" s="26" t="s">
        <v>5097</v>
      </c>
      <c r="D171" s="288" t="s">
        <v>3744</v>
      </c>
      <c r="E171" s="553" t="s">
        <v>5098</v>
      </c>
    </row>
    <row r="172" spans="1:5" ht="27.6">
      <c r="A172" s="295" t="str">
        <f t="shared" si="2"/>
        <v>SOP provides stepwise instructions for test performance</v>
      </c>
      <c r="B172" s="26" t="s">
        <v>2101</v>
      </c>
      <c r="C172" s="26" t="s">
        <v>5099</v>
      </c>
      <c r="D172" s="288" t="s">
        <v>3745</v>
      </c>
      <c r="E172" s="553" t="s">
        <v>5100</v>
      </c>
    </row>
    <row r="173" spans="1:5" ht="41.4">
      <c r="A173" s="295" t="str">
        <f t="shared" si="2"/>
        <v>SOP provides stepwise instructions for test interpretation</v>
      </c>
      <c r="B173" s="26" t="s">
        <v>2102</v>
      </c>
      <c r="C173" s="26" t="s">
        <v>5101</v>
      </c>
      <c r="D173" s="288" t="s">
        <v>3746</v>
      </c>
      <c r="E173" s="553" t="s">
        <v>5102</v>
      </c>
    </row>
    <row r="174" spans="1:5" ht="27.6">
      <c r="A174" s="295" t="str">
        <f t="shared" si="2"/>
        <v>STAPHYLOCOCCUS AUREUS, KEY ID METHODS</v>
      </c>
      <c r="B174" s="26" t="s">
        <v>650</v>
      </c>
      <c r="C174" s="26" t="s">
        <v>4568</v>
      </c>
      <c r="D174" s="170" t="s">
        <v>3747</v>
      </c>
      <c r="E174" s="553" t="s">
        <v>6812</v>
      </c>
    </row>
    <row r="175" spans="1:5" ht="27.6">
      <c r="A175" s="295" t="str">
        <f t="shared" si="2"/>
        <v>STAPHYLOCOCCUS AUREUS, OTHER ID METHODS</v>
      </c>
      <c r="B175" s="26" t="s">
        <v>811</v>
      </c>
      <c r="C175" s="26" t="s">
        <v>2454</v>
      </c>
      <c r="D175" s="288" t="s">
        <v>2936</v>
      </c>
      <c r="E175" s="553" t="s">
        <v>5103</v>
      </c>
    </row>
    <row r="176" spans="1:5" ht="41.4">
      <c r="A176" s="295" t="str">
        <f t="shared" si="2"/>
        <v>STREPTOCOCCUS PNEUMONIAE, CONVENTIONAL ID METHODS</v>
      </c>
      <c r="B176" s="26" t="s">
        <v>332</v>
      </c>
      <c r="C176" s="26" t="s">
        <v>2455</v>
      </c>
      <c r="D176" s="288" t="s">
        <v>3748</v>
      </c>
      <c r="E176" s="553" t="s">
        <v>5104</v>
      </c>
    </row>
    <row r="177" spans="1:5" ht="27.6">
      <c r="A177" s="295" t="str">
        <f t="shared" si="2"/>
        <v>ENTEROBACTERIACEAE, CONVENTIONAL ID METHODS</v>
      </c>
      <c r="B177" s="26" t="s">
        <v>331</v>
      </c>
      <c r="C177" s="26" t="s">
        <v>2456</v>
      </c>
      <c r="D177" s="288" t="s">
        <v>3749</v>
      </c>
      <c r="E177" s="553" t="s">
        <v>5105</v>
      </c>
    </row>
    <row r="178" spans="1:5" ht="27.6">
      <c r="A178" s="295" t="str">
        <f t="shared" si="2"/>
        <v>SHIGELLA/SALMONELLA SEROLOGY</v>
      </c>
      <c r="B178" s="26" t="s">
        <v>651</v>
      </c>
      <c r="C178" s="26" t="s">
        <v>2457</v>
      </c>
      <c r="D178" s="288" t="s">
        <v>3750</v>
      </c>
      <c r="E178" s="553" t="s">
        <v>5106</v>
      </c>
    </row>
    <row r="179" spans="1:5" ht="27.6">
      <c r="A179" s="295" t="str">
        <f t="shared" si="2"/>
        <v>ACINETOBACTER SPP, CONVENTIONAL ID METHODS</v>
      </c>
      <c r="B179" s="26" t="s">
        <v>330</v>
      </c>
      <c r="C179" s="26" t="s">
        <v>2458</v>
      </c>
      <c r="D179" s="288" t="s">
        <v>3751</v>
      </c>
      <c r="E179" s="553" t="s">
        <v>5107</v>
      </c>
    </row>
    <row r="180" spans="1:5" ht="27.6">
      <c r="A180" s="295" t="str">
        <f t="shared" si="2"/>
        <v>KIT-BASED ID METHODS</v>
      </c>
      <c r="B180" s="26" t="s">
        <v>58</v>
      </c>
      <c r="C180" s="26" t="s">
        <v>5108</v>
      </c>
      <c r="D180" s="288" t="s">
        <v>3752</v>
      </c>
      <c r="E180" s="553" t="s">
        <v>5109</v>
      </c>
    </row>
    <row r="181" spans="1:5" ht="27.6">
      <c r="A181" s="295" t="str">
        <f t="shared" si="2"/>
        <v>AUTOMATED ID METHODS</v>
      </c>
      <c r="B181" s="26" t="s">
        <v>56</v>
      </c>
      <c r="C181" s="26" t="s">
        <v>2459</v>
      </c>
      <c r="D181" s="288" t="s">
        <v>2940</v>
      </c>
      <c r="E181" s="553" t="s">
        <v>5110</v>
      </c>
    </row>
    <row r="182" spans="1:5">
      <c r="A182" s="295" t="str">
        <f t="shared" si="2"/>
        <v>IDENTIFICATION FLOWCHARTS</v>
      </c>
      <c r="B182" s="26" t="s">
        <v>2323</v>
      </c>
      <c r="C182" s="26" t="s">
        <v>4761</v>
      </c>
      <c r="D182" s="288" t="s">
        <v>3753</v>
      </c>
      <c r="E182" s="553" t="s">
        <v>5111</v>
      </c>
    </row>
    <row r="183" spans="1:5">
      <c r="A183" s="295" t="str">
        <f t="shared" si="2"/>
        <v>11- BASIC AST</v>
      </c>
      <c r="B183" s="26" t="s">
        <v>925</v>
      </c>
      <c r="C183" s="360" t="s">
        <v>5112</v>
      </c>
      <c r="D183" s="170" t="s">
        <v>3754</v>
      </c>
      <c r="E183" s="553" t="s">
        <v>5113</v>
      </c>
    </row>
    <row r="184" spans="1:5" ht="41.4">
      <c r="A184" s="295" t="str">
        <f t="shared" si="2"/>
        <v>ANTIBIOTIC DISK AND GRADIENT STRIPS MAINTENANCE</v>
      </c>
      <c r="B184" s="26" t="s">
        <v>660</v>
      </c>
      <c r="C184" s="26" t="s">
        <v>5114</v>
      </c>
      <c r="D184" s="288" t="s">
        <v>3755</v>
      </c>
      <c r="E184" s="553" t="s">
        <v>5115</v>
      </c>
    </row>
    <row r="185" spans="1:5">
      <c r="A185" s="295" t="str">
        <f t="shared" si="2"/>
        <v>INOCULUM PREPARATION</v>
      </c>
      <c r="B185" s="26" t="s">
        <v>659</v>
      </c>
      <c r="C185" s="26" t="s">
        <v>5116</v>
      </c>
      <c r="D185" s="288" t="s">
        <v>3756</v>
      </c>
      <c r="E185" s="553" t="s">
        <v>5117</v>
      </c>
    </row>
    <row r="186" spans="1:5">
      <c r="A186" s="295" t="str">
        <f t="shared" si="2"/>
        <v>INOCULATION/INCUBATION</v>
      </c>
      <c r="B186" s="26" t="s">
        <v>658</v>
      </c>
      <c r="C186" s="26" t="s">
        <v>5118</v>
      </c>
      <c r="D186" s="288" t="s">
        <v>2942</v>
      </c>
      <c r="E186" s="553" t="s">
        <v>5119</v>
      </c>
    </row>
    <row r="187" spans="1:5">
      <c r="A187" s="295" t="str">
        <f t="shared" si="2"/>
        <v>READING AST RESULTS</v>
      </c>
      <c r="B187" s="26" t="s">
        <v>657</v>
      </c>
      <c r="C187" s="26" t="s">
        <v>4570</v>
      </c>
      <c r="D187" s="170" t="s">
        <v>3757</v>
      </c>
      <c r="E187" s="553" t="s">
        <v>5120</v>
      </c>
    </row>
    <row r="188" spans="1:5">
      <c r="A188" s="295" t="str">
        <f t="shared" si="2"/>
        <v>INTERPRETING RESULTS</v>
      </c>
      <c r="B188" s="26" t="s">
        <v>656</v>
      </c>
      <c r="C188" s="26" t="s">
        <v>2461</v>
      </c>
      <c r="D188" s="170" t="s">
        <v>3758</v>
      </c>
      <c r="E188" s="553" t="s">
        <v>5121</v>
      </c>
    </row>
    <row r="189" spans="1:5" ht="27.6">
      <c r="A189" s="295" t="str">
        <f t="shared" si="2"/>
        <v>BREAKPOINTS STANDARDS</v>
      </c>
      <c r="B189" s="26" t="s">
        <v>654</v>
      </c>
      <c r="C189" s="26" t="s">
        <v>5122</v>
      </c>
      <c r="D189" s="170" t="s">
        <v>3759</v>
      </c>
      <c r="E189" s="553" t="s">
        <v>5123</v>
      </c>
    </row>
    <row r="190" spans="1:5">
      <c r="A190" s="295" t="str">
        <f t="shared" si="2"/>
        <v>12- AST EXPERT RULES</v>
      </c>
      <c r="B190" s="26" t="s">
        <v>921</v>
      </c>
      <c r="C190" s="26" t="s">
        <v>5124</v>
      </c>
      <c r="D190" s="170" t="s">
        <v>4397</v>
      </c>
      <c r="E190" s="553" t="s">
        <v>5125</v>
      </c>
    </row>
    <row r="191" spans="1:5" ht="27.6">
      <c r="A191" s="295" t="str">
        <f t="shared" si="2"/>
        <v>EXPERT RULES FOR SALMONELLA</v>
      </c>
      <c r="B191" s="26" t="s">
        <v>926</v>
      </c>
      <c r="C191" s="26" t="s">
        <v>5126</v>
      </c>
      <c r="D191" s="170" t="s">
        <v>3760</v>
      </c>
      <c r="E191" s="553" t="s">
        <v>5127</v>
      </c>
    </row>
    <row r="192" spans="1:5" ht="27.6">
      <c r="A192" s="295" t="str">
        <f t="shared" si="2"/>
        <v>GRAM NEGATIVES &amp; BETA-LACTAM BREAKPOINTS</v>
      </c>
      <c r="B192" s="26" t="s">
        <v>751</v>
      </c>
      <c r="C192" s="26" t="s">
        <v>5128</v>
      </c>
      <c r="D192" s="170" t="s">
        <v>3761</v>
      </c>
      <c r="E192" s="553" t="s">
        <v>5129</v>
      </c>
    </row>
    <row r="193" spans="1:5" ht="27.6">
      <c r="A193" s="295" t="str">
        <f t="shared" si="2"/>
        <v>PHENOTYPIC ESBL TESTING</v>
      </c>
      <c r="B193" s="26" t="s">
        <v>664</v>
      </c>
      <c r="C193" s="26" t="s">
        <v>5130</v>
      </c>
      <c r="D193" s="288" t="s">
        <v>3762</v>
      </c>
      <c r="E193" s="553" t="s">
        <v>5131</v>
      </c>
    </row>
    <row r="194" spans="1:5" ht="27.6">
      <c r="A194" s="295" t="str">
        <f t="shared" si="2"/>
        <v>PHENOTYPIC CARBAPENEMASE TESTING</v>
      </c>
      <c r="B194" s="26" t="s">
        <v>663</v>
      </c>
      <c r="C194" s="26" t="s">
        <v>5132</v>
      </c>
      <c r="D194" s="288" t="s">
        <v>3763</v>
      </c>
      <c r="E194" s="553" t="s">
        <v>5133</v>
      </c>
    </row>
    <row r="195" spans="1:5">
      <c r="A195" s="295" t="str">
        <f t="shared" si="2"/>
        <v>COLISTIN TESTING</v>
      </c>
      <c r="B195" s="26" t="s">
        <v>661</v>
      </c>
      <c r="C195" s="26" t="s">
        <v>5134</v>
      </c>
      <c r="D195" s="170" t="s">
        <v>3764</v>
      </c>
      <c r="E195" s="553" t="s">
        <v>5135</v>
      </c>
    </row>
    <row r="196" spans="1:5" ht="27.6">
      <c r="A196" s="295" t="str">
        <f t="shared" si="2"/>
        <v>EXPERT RULES FOR STAPH AUREUS</v>
      </c>
      <c r="B196" s="26" t="s">
        <v>927</v>
      </c>
      <c r="C196" s="26" t="s">
        <v>5136</v>
      </c>
      <c r="D196" s="170" t="s">
        <v>3765</v>
      </c>
      <c r="E196" s="553" t="s">
        <v>5137</v>
      </c>
    </row>
    <row r="197" spans="1:5" ht="27.6">
      <c r="A197" s="295" t="str">
        <f t="shared" si="2"/>
        <v>GENERAL CONSIDERATIONS FOR STREP PNEUMONIAE</v>
      </c>
      <c r="B197" s="26" t="s">
        <v>928</v>
      </c>
      <c r="C197" s="26" t="s">
        <v>5138</v>
      </c>
      <c r="D197" s="288" t="s">
        <v>3766</v>
      </c>
      <c r="E197" s="553" t="s">
        <v>5139</v>
      </c>
    </row>
    <row r="198" spans="1:5" ht="27.6">
      <c r="A198" s="295" t="str">
        <f t="shared" si="2"/>
        <v>EXPERT RULES FOR STREP PNEUMONIAE</v>
      </c>
      <c r="B198" s="26" t="s">
        <v>929</v>
      </c>
      <c r="C198" s="26" t="s">
        <v>5140</v>
      </c>
      <c r="D198" s="170" t="s">
        <v>3767</v>
      </c>
      <c r="E198" s="553" t="s">
        <v>5141</v>
      </c>
    </row>
    <row r="199" spans="1:5" ht="27.6">
      <c r="A199" s="295" t="str">
        <f t="shared" si="2"/>
        <v>INDUCIBLE CLINDAMYCIN RESISTANCE TESTING</v>
      </c>
      <c r="B199" s="26" t="s">
        <v>662</v>
      </c>
      <c r="C199" s="26" t="s">
        <v>4571</v>
      </c>
      <c r="D199" s="288" t="s">
        <v>3768</v>
      </c>
      <c r="E199" s="553" t="s">
        <v>5142</v>
      </c>
    </row>
    <row r="200" spans="1:5" ht="27.6">
      <c r="A200" s="295" t="str">
        <f t="shared" si="2"/>
        <v>EXPERT RULES FOR CEREBROSPINAL FLUID</v>
      </c>
      <c r="B200" s="26" t="s">
        <v>2360</v>
      </c>
      <c r="C200" s="26" t="s">
        <v>5143</v>
      </c>
      <c r="D200" s="288" t="s">
        <v>3769</v>
      </c>
      <c r="E200" s="553" t="s">
        <v>5144</v>
      </c>
    </row>
    <row r="201" spans="1:5" ht="27.6">
      <c r="A201" s="295" t="str">
        <f t="shared" si="2"/>
        <v>13- AST PANELS, POLICY AND ANALYSIS</v>
      </c>
      <c r="B201" s="26" t="s">
        <v>1697</v>
      </c>
      <c r="C201" s="26" t="s">
        <v>5145</v>
      </c>
      <c r="D201" s="288" t="s">
        <v>3770</v>
      </c>
      <c r="E201" s="553" t="s">
        <v>5146</v>
      </c>
    </row>
    <row r="202" spans="1:5">
      <c r="A202" s="295" t="str">
        <f t="shared" si="2"/>
        <v>AST PANELS</v>
      </c>
      <c r="B202" s="26" t="s">
        <v>746</v>
      </c>
      <c r="C202" s="26" t="s">
        <v>5147</v>
      </c>
      <c r="D202" s="288" t="s">
        <v>3771</v>
      </c>
      <c r="E202" s="553" t="s">
        <v>5148</v>
      </c>
    </row>
    <row r="203" spans="1:5" ht="27.6">
      <c r="A203" s="295" t="str">
        <f t="shared" si="2"/>
        <v>CUMULATIVE ANTIBIOGRAMS</v>
      </c>
      <c r="B203" s="26" t="s">
        <v>667</v>
      </c>
      <c r="C203" s="26" t="s">
        <v>2463</v>
      </c>
      <c r="D203" s="170" t="s">
        <v>3772</v>
      </c>
      <c r="E203" s="553" t="s">
        <v>5149</v>
      </c>
    </row>
    <row r="204" spans="1:5">
      <c r="A204" s="295" t="str">
        <f t="shared" si="2"/>
        <v>AST PANEL POLICY</v>
      </c>
      <c r="B204" s="26" t="s">
        <v>1686</v>
      </c>
      <c r="C204" s="26" t="s">
        <v>5150</v>
      </c>
      <c r="D204" s="170" t="s">
        <v>3773</v>
      </c>
      <c r="E204" s="553" t="s">
        <v>5151</v>
      </c>
    </row>
    <row r="205" spans="1:5">
      <c r="A205" s="295" t="str">
        <f t="shared" si="2"/>
        <v>SAFETY</v>
      </c>
      <c r="B205" s="26" t="s">
        <v>6607</v>
      </c>
      <c r="C205" s="26" t="s">
        <v>2431</v>
      </c>
      <c r="D205" s="288" t="s">
        <v>3697</v>
      </c>
      <c r="E205" s="553" t="s">
        <v>4996</v>
      </c>
    </row>
    <row r="206" spans="1:5">
      <c r="A206" s="295" t="str">
        <f t="shared" si="2"/>
        <v>BIOSAFETY EQUIPMENT</v>
      </c>
      <c r="B206" s="26" t="s">
        <v>936</v>
      </c>
      <c r="C206" s="26" t="s">
        <v>5152</v>
      </c>
      <c r="D206" s="288" t="s">
        <v>2944</v>
      </c>
      <c r="E206" s="553" t="s">
        <v>5153</v>
      </c>
    </row>
    <row r="207" spans="1:5">
      <c r="A207" s="295" t="str">
        <f t="shared" si="2"/>
        <v>BIOSAFETY BEHAVIORS</v>
      </c>
      <c r="B207" s="26" t="s">
        <v>938</v>
      </c>
      <c r="C207" s="26" t="s">
        <v>5154</v>
      </c>
      <c r="D207" s="288" t="s">
        <v>3774</v>
      </c>
      <c r="E207" s="553" t="s">
        <v>5155</v>
      </c>
    </row>
    <row r="208" spans="1:5" ht="27.6">
      <c r="A208" s="295" t="str">
        <f t="shared" ref="A208:A274" si="3">IF(langue=1,B208,IF(langue=2,C208,IF(langue=3,D208,IF(langue=4,E208,F208))))</f>
        <v>PERSONAL PROTECTIVE EQUIPMENT</v>
      </c>
      <c r="B208" s="26" t="s">
        <v>937</v>
      </c>
      <c r="C208" s="26" t="s">
        <v>2466</v>
      </c>
      <c r="D208" s="288" t="s">
        <v>2945</v>
      </c>
      <c r="E208" s="553" t="s">
        <v>5156</v>
      </c>
    </row>
    <row r="209" spans="1:5" ht="27.6">
      <c r="A209" s="295" t="str">
        <f t="shared" si="3"/>
        <v>BIOSAFETY DOCUMENTATION AND TRAINING</v>
      </c>
      <c r="B209" s="26" t="s">
        <v>939</v>
      </c>
      <c r="C209" s="26" t="s">
        <v>5157</v>
      </c>
      <c r="D209" s="288" t="s">
        <v>2946</v>
      </c>
      <c r="E209" s="553" t="s">
        <v>5158</v>
      </c>
    </row>
    <row r="210" spans="1:5">
      <c r="A210" s="295" t="str">
        <f t="shared" si="3"/>
        <v>Biochemical Identification Reagents</v>
      </c>
      <c r="B210" s="26" t="s">
        <v>4815</v>
      </c>
      <c r="C210" s="26" t="s">
        <v>4816</v>
      </c>
      <c r="D210" s="288" t="s">
        <v>4817</v>
      </c>
      <c r="E210" s="553" t="s">
        <v>5159</v>
      </c>
    </row>
    <row r="211" spans="1:5">
      <c r="A211" s="295" t="str">
        <f t="shared" si="3"/>
        <v>In Use?</v>
      </c>
      <c r="B211" s="26" t="s">
        <v>6685</v>
      </c>
      <c r="C211" s="402" t="s">
        <v>6784</v>
      </c>
      <c r="D211" s="402" t="s">
        <v>6783</v>
      </c>
      <c r="E211" s="555" t="s">
        <v>6782</v>
      </c>
    </row>
    <row r="212" spans="1:5">
      <c r="A212" s="295" t="str">
        <f t="shared" si="3"/>
        <v>QC Score</v>
      </c>
      <c r="B212" s="26" t="s">
        <v>4813</v>
      </c>
      <c r="C212" s="26" t="s">
        <v>6781</v>
      </c>
      <c r="D212" s="288" t="s">
        <v>6780</v>
      </c>
      <c r="E212" s="553" t="s">
        <v>6813</v>
      </c>
    </row>
    <row r="213" spans="1:5">
      <c r="A213" s="295" t="str">
        <f t="shared" si="3"/>
        <v>SOP Score</v>
      </c>
      <c r="B213" s="26" t="s">
        <v>4814</v>
      </c>
      <c r="C213" s="26" t="s">
        <v>6790</v>
      </c>
      <c r="D213" s="288" t="s">
        <v>6779</v>
      </c>
      <c r="E213" s="553" t="s">
        <v>6814</v>
      </c>
    </row>
    <row r="214" spans="1:5">
      <c r="A214" s="295" t="str">
        <f t="shared" si="3"/>
        <v>Catalase (H2O2)</v>
      </c>
      <c r="B214" s="26" t="s">
        <v>2399</v>
      </c>
      <c r="C214" s="26" t="s">
        <v>2399</v>
      </c>
      <c r="D214" s="288" t="s">
        <v>2947</v>
      </c>
      <c r="E214" s="553" t="s">
        <v>2399</v>
      </c>
    </row>
    <row r="215" spans="1:5">
      <c r="A215" s="295" t="str">
        <f t="shared" si="3"/>
        <v>Coagulase plasma</v>
      </c>
      <c r="B215" s="26" t="s">
        <v>2104</v>
      </c>
      <c r="C215" s="26" t="s">
        <v>5160</v>
      </c>
      <c r="D215" s="170" t="s">
        <v>3775</v>
      </c>
      <c r="E215" s="553" t="s">
        <v>5161</v>
      </c>
    </row>
    <row r="216" spans="1:5" ht="27.6">
      <c r="A216" s="295" t="str">
        <f t="shared" si="3"/>
        <v>Staph latex agglutination</v>
      </c>
      <c r="B216" s="26" t="s">
        <v>2105</v>
      </c>
      <c r="C216" s="26" t="s">
        <v>5162</v>
      </c>
      <c r="D216" s="288" t="s">
        <v>3776</v>
      </c>
      <c r="E216" s="553" t="s">
        <v>5163</v>
      </c>
    </row>
    <row r="217" spans="1:5" ht="27.6">
      <c r="A217" s="295" t="str">
        <f t="shared" si="3"/>
        <v>Staph chromagar</v>
      </c>
      <c r="B217" s="26" t="s">
        <v>2106</v>
      </c>
      <c r="C217" s="26" t="s">
        <v>2106</v>
      </c>
      <c r="D217" s="288" t="s">
        <v>3777</v>
      </c>
      <c r="E217" s="553" t="s">
        <v>5164</v>
      </c>
    </row>
    <row r="218" spans="1:5">
      <c r="A218" s="295" t="str">
        <f t="shared" si="3"/>
        <v>DNase</v>
      </c>
      <c r="B218" s="20" t="s">
        <v>2107</v>
      </c>
      <c r="C218" s="20" t="s">
        <v>2107</v>
      </c>
      <c r="D218" s="289" t="s">
        <v>2948</v>
      </c>
      <c r="E218" s="553" t="s">
        <v>2107</v>
      </c>
    </row>
    <row r="219" spans="1:5">
      <c r="A219" s="295" t="str">
        <f t="shared" si="3"/>
        <v>PYR</v>
      </c>
      <c r="B219" s="20" t="s">
        <v>2108</v>
      </c>
      <c r="C219" s="20" t="s">
        <v>2108</v>
      </c>
      <c r="D219" s="289" t="s">
        <v>3778</v>
      </c>
      <c r="E219" s="553" t="s">
        <v>2108</v>
      </c>
    </row>
    <row r="220" spans="1:5">
      <c r="A220" s="295" t="str">
        <f t="shared" si="3"/>
        <v>Optochin ("P") disk</v>
      </c>
      <c r="B220" s="20" t="s">
        <v>2136</v>
      </c>
      <c r="C220" s="20" t="s">
        <v>5165</v>
      </c>
      <c r="D220" s="289" t="s">
        <v>3779</v>
      </c>
      <c r="E220" s="553" t="s">
        <v>5166</v>
      </c>
    </row>
    <row r="221" spans="1:5">
      <c r="A221" s="295" t="str">
        <f t="shared" si="3"/>
        <v>Bile solubility (deoxycholate)</v>
      </c>
      <c r="B221" s="20" t="s">
        <v>2109</v>
      </c>
      <c r="C221" s="20" t="s">
        <v>2468</v>
      </c>
      <c r="D221" s="289" t="s">
        <v>3780</v>
      </c>
      <c r="E221" s="553" t="s">
        <v>5167</v>
      </c>
    </row>
    <row r="222" spans="1:5">
      <c r="A222" s="295" t="str">
        <f t="shared" si="3"/>
        <v>Strep. pneumo latex agglutination</v>
      </c>
      <c r="B222" s="20" t="s">
        <v>2110</v>
      </c>
      <c r="C222" s="20" t="s">
        <v>5168</v>
      </c>
      <c r="D222" s="288" t="s">
        <v>3781</v>
      </c>
      <c r="E222" s="553" t="s">
        <v>5169</v>
      </c>
    </row>
    <row r="223" spans="1:5">
      <c r="A223" s="295" t="str">
        <f t="shared" si="3"/>
        <v>Oxidase</v>
      </c>
      <c r="B223" s="20" t="s">
        <v>2111</v>
      </c>
      <c r="C223" s="20" t="s">
        <v>2469</v>
      </c>
      <c r="D223" s="289" t="s">
        <v>2949</v>
      </c>
      <c r="E223" s="553" t="s">
        <v>2111</v>
      </c>
    </row>
    <row r="224" spans="1:5">
      <c r="A224" s="295" t="str">
        <f t="shared" si="3"/>
        <v>Indole reagents</v>
      </c>
      <c r="B224" s="20" t="s">
        <v>2130</v>
      </c>
      <c r="C224" s="20" t="s">
        <v>2112</v>
      </c>
      <c r="D224" s="289" t="s">
        <v>2950</v>
      </c>
      <c r="E224" s="553" t="s">
        <v>5170</v>
      </c>
    </row>
    <row r="225" spans="1:5">
      <c r="A225" s="295" t="str">
        <f t="shared" si="3"/>
        <v>Methyl Red</v>
      </c>
      <c r="B225" s="20" t="s">
        <v>2113</v>
      </c>
      <c r="C225" s="20" t="s">
        <v>5171</v>
      </c>
      <c r="D225" s="289" t="s">
        <v>3782</v>
      </c>
      <c r="E225" s="553" t="s">
        <v>5172</v>
      </c>
    </row>
    <row r="226" spans="1:5">
      <c r="A226" s="295" t="str">
        <f t="shared" si="3"/>
        <v>Voges-Proskauer</v>
      </c>
      <c r="B226" s="20" t="s">
        <v>2114</v>
      </c>
      <c r="C226" s="20" t="s">
        <v>2114</v>
      </c>
      <c r="D226" s="289" t="s">
        <v>2114</v>
      </c>
      <c r="E226" s="553" t="s">
        <v>2114</v>
      </c>
    </row>
    <row r="227" spans="1:5">
      <c r="A227" s="295" t="str">
        <f t="shared" si="3"/>
        <v>Citrate</v>
      </c>
      <c r="B227" s="20" t="s">
        <v>2115</v>
      </c>
      <c r="C227" s="20" t="s">
        <v>2115</v>
      </c>
      <c r="D227" s="289" t="s">
        <v>2951</v>
      </c>
      <c r="E227" s="553" t="s">
        <v>2951</v>
      </c>
    </row>
    <row r="228" spans="1:5" ht="27.6">
      <c r="A228" s="295" t="str">
        <f t="shared" si="3"/>
        <v>Triple Sugar Iron agar or Kligler's Iron Agar</v>
      </c>
      <c r="B228" s="20" t="s">
        <v>2131</v>
      </c>
      <c r="C228" s="20" t="s">
        <v>5173</v>
      </c>
      <c r="D228" s="289" t="s">
        <v>3783</v>
      </c>
      <c r="E228" s="553" t="s">
        <v>5174</v>
      </c>
    </row>
    <row r="229" spans="1:5">
      <c r="A229" s="295" t="str">
        <f t="shared" si="3"/>
        <v>Urease</v>
      </c>
      <c r="B229" s="20" t="s">
        <v>2116</v>
      </c>
      <c r="C229" s="20" t="s">
        <v>5175</v>
      </c>
      <c r="D229" s="289" t="s">
        <v>2952</v>
      </c>
      <c r="E229" s="553" t="s">
        <v>2116</v>
      </c>
    </row>
    <row r="230" spans="1:5">
      <c r="A230" s="295" t="str">
        <f t="shared" si="3"/>
        <v>Motility</v>
      </c>
      <c r="B230" s="20" t="s">
        <v>2117</v>
      </c>
      <c r="C230" s="20" t="s">
        <v>2474</v>
      </c>
      <c r="D230" s="289" t="s">
        <v>2953</v>
      </c>
      <c r="E230" s="553" t="s">
        <v>5176</v>
      </c>
    </row>
    <row r="231" spans="1:5" ht="27.6">
      <c r="A231" s="295" t="str">
        <f t="shared" si="3"/>
        <v>Lysine Iron Agar (LIA) or Lysine decarboxylase (LDC)</v>
      </c>
      <c r="B231" s="20" t="s">
        <v>2132</v>
      </c>
      <c r="C231" s="20" t="s">
        <v>2475</v>
      </c>
      <c r="D231" s="289" t="s">
        <v>3784</v>
      </c>
      <c r="E231" s="553" t="s">
        <v>5177</v>
      </c>
    </row>
    <row r="232" spans="1:5" ht="27.6">
      <c r="A232" s="295" t="str">
        <f t="shared" si="3"/>
        <v>Glucose or Dextrose Oxidative-Fermentative (OF) test</v>
      </c>
      <c r="B232" s="8" t="s">
        <v>2133</v>
      </c>
      <c r="C232" s="8" t="s">
        <v>2476</v>
      </c>
      <c r="D232" s="290" t="s">
        <v>3785</v>
      </c>
      <c r="E232" s="553" t="s">
        <v>5178</v>
      </c>
    </row>
    <row r="233" spans="1:5">
      <c r="A233" s="295" t="str">
        <f t="shared" si="3"/>
        <v>Nitrate reduction</v>
      </c>
      <c r="B233" s="8" t="s">
        <v>2122</v>
      </c>
      <c r="C233" s="8" t="s">
        <v>2477</v>
      </c>
      <c r="D233" s="290" t="s">
        <v>3786</v>
      </c>
      <c r="E233" s="553" t="s">
        <v>5179</v>
      </c>
    </row>
    <row r="234" spans="1:5">
      <c r="A234" s="295" t="str">
        <f t="shared" si="3"/>
        <v>Gelatin hydrolysis</v>
      </c>
      <c r="B234" s="8" t="s">
        <v>2123</v>
      </c>
      <c r="C234" s="8" t="s">
        <v>2478</v>
      </c>
      <c r="D234" s="290" t="s">
        <v>3787</v>
      </c>
      <c r="E234" s="553" t="s">
        <v>5180</v>
      </c>
    </row>
    <row r="235" spans="1:5">
      <c r="A235" s="295" t="str">
        <f t="shared" si="3"/>
        <v>Chloramphenicol resistance (disk)</v>
      </c>
      <c r="B235" s="20" t="s">
        <v>2124</v>
      </c>
      <c r="C235" s="20" t="s">
        <v>2479</v>
      </c>
      <c r="D235" s="289" t="s">
        <v>2956</v>
      </c>
      <c r="E235" s="553" t="s">
        <v>5181</v>
      </c>
    </row>
    <row r="236" spans="1:5">
      <c r="A236" s="295" t="str">
        <f t="shared" si="3"/>
        <v>Growth at 42°C</v>
      </c>
      <c r="B236" s="20" t="s">
        <v>2125</v>
      </c>
      <c r="C236" s="20" t="s">
        <v>2480</v>
      </c>
      <c r="D236" s="289" t="s">
        <v>3788</v>
      </c>
      <c r="E236" s="553" t="s">
        <v>5182</v>
      </c>
    </row>
    <row r="237" spans="1:5">
      <c r="A237" s="295" t="str">
        <f t="shared" si="3"/>
        <v>Shigella serology</v>
      </c>
      <c r="B237" s="8" t="s">
        <v>2119</v>
      </c>
      <c r="C237" s="8" t="s">
        <v>2481</v>
      </c>
      <c r="D237" s="290" t="s">
        <v>3789</v>
      </c>
      <c r="E237" s="553" t="s">
        <v>5183</v>
      </c>
    </row>
    <row r="238" spans="1:5">
      <c r="A238" s="295" t="str">
        <f t="shared" si="3"/>
        <v>Salmonella serology</v>
      </c>
      <c r="B238" s="8" t="s">
        <v>2120</v>
      </c>
      <c r="C238" s="8" t="s">
        <v>4573</v>
      </c>
      <c r="D238" s="290" t="s">
        <v>2959</v>
      </c>
      <c r="E238" s="553" t="s">
        <v>5184</v>
      </c>
    </row>
    <row r="239" spans="1:5" ht="27.6">
      <c r="A239" s="295" t="str">
        <f t="shared" si="3"/>
        <v>Equipment availability summary</v>
      </c>
      <c r="B239" s="8" t="s">
        <v>1641</v>
      </c>
      <c r="C239" s="8" t="s">
        <v>5185</v>
      </c>
      <c r="D239" s="290" t="s">
        <v>3790</v>
      </c>
      <c r="E239" s="553" t="s">
        <v>5186</v>
      </c>
    </row>
    <row r="240" spans="1:5">
      <c r="A240" s="295" t="str">
        <f t="shared" si="3"/>
        <v>General equipment</v>
      </c>
      <c r="B240" s="8" t="s">
        <v>1642</v>
      </c>
      <c r="C240" s="8" t="s">
        <v>5187</v>
      </c>
      <c r="D240" s="290" t="s">
        <v>3791</v>
      </c>
      <c r="E240" s="553" t="s">
        <v>5188</v>
      </c>
    </row>
    <row r="241" spans="1:5" ht="41.4">
      <c r="A241" s="295" t="str">
        <f t="shared" si="3"/>
        <v>McFarland QC standards of known densities, including 0.5, not expired</v>
      </c>
      <c r="B241" s="8" t="s">
        <v>2139</v>
      </c>
      <c r="C241" s="361" t="s">
        <v>5189</v>
      </c>
      <c r="D241" s="72" t="s">
        <v>3792</v>
      </c>
      <c r="E241" s="553" t="s">
        <v>5190</v>
      </c>
    </row>
    <row r="242" spans="1:5" ht="27.6">
      <c r="A242" s="295" t="str">
        <f t="shared" si="3"/>
        <v>Ruler or caliper with millimeter markings</v>
      </c>
      <c r="B242" s="8" t="s">
        <v>2140</v>
      </c>
      <c r="C242" s="8" t="s">
        <v>2483</v>
      </c>
      <c r="D242" s="72" t="s">
        <v>3793</v>
      </c>
      <c r="E242" s="553" t="s">
        <v>5191</v>
      </c>
    </row>
    <row r="243" spans="1:5">
      <c r="A243" s="295" t="str">
        <f t="shared" si="3"/>
        <v>Bunsen burners or micro-incinerators</v>
      </c>
      <c r="B243" s="8" t="s">
        <v>2141</v>
      </c>
      <c r="C243" s="8" t="s">
        <v>2484</v>
      </c>
      <c r="D243" s="290" t="s">
        <v>3794</v>
      </c>
      <c r="E243" s="553" t="s">
        <v>5192</v>
      </c>
    </row>
    <row r="244" spans="1:5" ht="27.6">
      <c r="A244" s="295" t="str">
        <f t="shared" si="3"/>
        <v>Calibrated 1uL or 10uL loops (for plating urine cultures)</v>
      </c>
      <c r="B244" s="8" t="s">
        <v>2142</v>
      </c>
      <c r="C244" s="8" t="s">
        <v>5193</v>
      </c>
      <c r="D244" s="290" t="s">
        <v>3795</v>
      </c>
      <c r="E244" s="553" t="s">
        <v>5194</v>
      </c>
    </row>
    <row r="245" spans="1:5" ht="41.4">
      <c r="A245" s="295" t="str">
        <f t="shared" si="3"/>
        <v>Optical densitometer/turbidimeter (for determining McFarland density)</v>
      </c>
      <c r="B245" s="8" t="s">
        <v>2143</v>
      </c>
      <c r="C245" s="8" t="s">
        <v>2485</v>
      </c>
      <c r="D245" s="72" t="s">
        <v>3796</v>
      </c>
      <c r="E245" s="553" t="s">
        <v>5195</v>
      </c>
    </row>
    <row r="246" spans="1:5">
      <c r="A246" s="295" t="str">
        <f t="shared" si="3"/>
        <v>Microliter pipettes (e.g., Eppendorf)</v>
      </c>
      <c r="B246" s="8" t="s">
        <v>2144</v>
      </c>
      <c r="C246" s="8" t="s">
        <v>4574</v>
      </c>
      <c r="D246" s="290" t="s">
        <v>3797</v>
      </c>
      <c r="E246" s="553" t="s">
        <v>5196</v>
      </c>
    </row>
    <row r="247" spans="1:5" ht="27.6">
      <c r="A247" s="295" t="str">
        <f t="shared" si="3"/>
        <v>Centrifuge (not used for TB cultures)</v>
      </c>
      <c r="B247" s="8" t="s">
        <v>2145</v>
      </c>
      <c r="C247" s="8" t="s">
        <v>4575</v>
      </c>
      <c r="D247" s="290" t="s">
        <v>3798</v>
      </c>
      <c r="E247" s="553" t="s">
        <v>5197</v>
      </c>
    </row>
    <row r="248" spans="1:5">
      <c r="A248" s="295" t="str">
        <f t="shared" si="3"/>
        <v>Microscope</v>
      </c>
      <c r="B248" s="8" t="s">
        <v>2146</v>
      </c>
      <c r="C248" s="8" t="s">
        <v>2146</v>
      </c>
      <c r="D248" s="290" t="s">
        <v>2960</v>
      </c>
      <c r="E248" s="553" t="s">
        <v>5198</v>
      </c>
    </row>
    <row r="249" spans="1:5">
      <c r="A249" s="295" t="str">
        <f t="shared" si="3"/>
        <v>Thermometers</v>
      </c>
      <c r="B249" s="8" t="s">
        <v>2147</v>
      </c>
      <c r="C249" s="8" t="s">
        <v>2486</v>
      </c>
      <c r="D249" s="290" t="s">
        <v>2961</v>
      </c>
      <c r="E249" s="553" t="s">
        <v>5199</v>
      </c>
    </row>
    <row r="250" spans="1:5">
      <c r="A250" s="295" t="str">
        <f t="shared" si="3"/>
        <v>CO2 incubators</v>
      </c>
      <c r="B250" s="8" t="s">
        <v>2400</v>
      </c>
      <c r="C250" s="8" t="s">
        <v>5200</v>
      </c>
      <c r="D250" s="290" t="s">
        <v>3799</v>
      </c>
      <c r="E250" s="553" t="s">
        <v>3799</v>
      </c>
    </row>
    <row r="251" spans="1:5">
      <c r="A251" s="295" t="str">
        <f t="shared" si="3"/>
        <v>Candle jars</v>
      </c>
      <c r="B251" s="8" t="s">
        <v>2148</v>
      </c>
      <c r="C251" s="8" t="s">
        <v>5201</v>
      </c>
      <c r="D251" s="72" t="s">
        <v>2962</v>
      </c>
      <c r="E251" s="553" t="s">
        <v>5202</v>
      </c>
    </row>
    <row r="252" spans="1:5" ht="27.6">
      <c r="A252" s="295" t="str">
        <f t="shared" si="3"/>
        <v>Ambient (non-CO2) incubator</v>
      </c>
      <c r="B252" s="8" t="s">
        <v>2167</v>
      </c>
      <c r="C252" s="8" t="s">
        <v>5203</v>
      </c>
      <c r="D252" s="72" t="s">
        <v>3800</v>
      </c>
      <c r="E252" s="553" t="s">
        <v>5204</v>
      </c>
    </row>
    <row r="253" spans="1:5">
      <c r="A253" s="295" t="str">
        <f t="shared" si="3"/>
        <v>Refrigerator (2-8°C)</v>
      </c>
      <c r="B253" s="8" t="s">
        <v>2149</v>
      </c>
      <c r="C253" s="8" t="s">
        <v>2488</v>
      </c>
      <c r="D253" s="290" t="s">
        <v>3801</v>
      </c>
      <c r="E253" s="553" t="s">
        <v>5205</v>
      </c>
    </row>
    <row r="254" spans="1:5">
      <c r="A254" s="295" t="str">
        <f t="shared" si="3"/>
        <v xml:space="preserve">Non-defrosting freezer, -20°C </v>
      </c>
      <c r="B254" s="8" t="s">
        <v>2150</v>
      </c>
      <c r="C254" s="8" t="s">
        <v>2489</v>
      </c>
      <c r="D254" s="72" t="s">
        <v>3802</v>
      </c>
      <c r="E254" s="553" t="s">
        <v>5206</v>
      </c>
    </row>
    <row r="255" spans="1:5">
      <c r="A255" s="295" t="str">
        <f t="shared" si="3"/>
        <v>Non-defrosting freezer, -60°C</v>
      </c>
      <c r="B255" s="8" t="s">
        <v>2157</v>
      </c>
      <c r="C255" s="8" t="s">
        <v>2490</v>
      </c>
      <c r="D255" s="72" t="s">
        <v>3803</v>
      </c>
      <c r="E255" s="553" t="s">
        <v>5207</v>
      </c>
    </row>
    <row r="256" spans="1:5">
      <c r="A256" s="295" t="str">
        <f t="shared" si="3"/>
        <v xml:space="preserve">Non-defrosting freezer, -80°C </v>
      </c>
      <c r="B256" s="8" t="s">
        <v>2151</v>
      </c>
      <c r="C256" s="8" t="s">
        <v>2491</v>
      </c>
      <c r="D256" s="72" t="s">
        <v>3804</v>
      </c>
      <c r="E256" s="553" t="s">
        <v>5208</v>
      </c>
    </row>
    <row r="257" spans="1:5" ht="41.4">
      <c r="A257" s="295" t="str">
        <f t="shared" si="3"/>
        <v>Rechargeable desiccants (for storage of open antibiotic disks and strips)</v>
      </c>
      <c r="B257" s="8" t="s">
        <v>2152</v>
      </c>
      <c r="C257" s="8" t="s">
        <v>2492</v>
      </c>
      <c r="D257" s="290" t="s">
        <v>3805</v>
      </c>
      <c r="E257" s="553" t="s">
        <v>5209</v>
      </c>
    </row>
    <row r="258" spans="1:5" ht="27.6">
      <c r="A258" s="295" t="str">
        <f t="shared" si="3"/>
        <v>Hot air oven (for drying saturated desiccants)</v>
      </c>
      <c r="B258" s="8" t="s">
        <v>2153</v>
      </c>
      <c r="C258" s="8" t="s">
        <v>2493</v>
      </c>
      <c r="D258" s="72" t="s">
        <v>3806</v>
      </c>
      <c r="E258" s="553" t="s">
        <v>5210</v>
      </c>
    </row>
    <row r="259" spans="1:5" ht="27.6">
      <c r="A259" s="295" t="str">
        <f t="shared" si="3"/>
        <v>Biological Safety Cabinet Class IIA</v>
      </c>
      <c r="B259" s="8" t="s">
        <v>2154</v>
      </c>
      <c r="C259" s="8" t="s">
        <v>5211</v>
      </c>
      <c r="D259" s="290" t="s">
        <v>3807</v>
      </c>
      <c r="E259" s="553" t="s">
        <v>5212</v>
      </c>
    </row>
    <row r="260" spans="1:5" ht="27.6">
      <c r="A260" s="295" t="str">
        <f t="shared" si="3"/>
        <v>Autoclave for media preparation ("clean" autoclave)</v>
      </c>
      <c r="B260" s="8" t="s">
        <v>2155</v>
      </c>
      <c r="C260" s="8" t="s">
        <v>4576</v>
      </c>
      <c r="D260" s="290" t="s">
        <v>2963</v>
      </c>
      <c r="E260" s="553" t="s">
        <v>5213</v>
      </c>
    </row>
    <row r="261" spans="1:5" ht="27.6">
      <c r="A261" s="295" t="str">
        <f t="shared" si="3"/>
        <v>Autoclave for sterlizing waste ("dirty" autoclave)</v>
      </c>
      <c r="B261" s="8" t="s">
        <v>2156</v>
      </c>
      <c r="C261" s="8" t="s">
        <v>2494</v>
      </c>
      <c r="D261" s="290" t="s">
        <v>2964</v>
      </c>
      <c r="E261" s="553" t="s">
        <v>5214</v>
      </c>
    </row>
    <row r="262" spans="1:5" ht="27.6">
      <c r="A262" s="295" t="str">
        <f t="shared" si="3"/>
        <v>Media Preparation equipment</v>
      </c>
      <c r="B262" s="8" t="s">
        <v>1643</v>
      </c>
      <c r="C262" s="8" t="s">
        <v>5215</v>
      </c>
      <c r="D262" s="290" t="s">
        <v>3808</v>
      </c>
      <c r="E262" s="553" t="s">
        <v>6815</v>
      </c>
    </row>
    <row r="263" spans="1:5">
      <c r="A263" s="295" t="str">
        <f t="shared" si="3"/>
        <v>pH meter</v>
      </c>
      <c r="B263" s="8" t="s">
        <v>2158</v>
      </c>
      <c r="C263" s="8" t="s">
        <v>2495</v>
      </c>
      <c r="D263" s="290" t="s">
        <v>3809</v>
      </c>
      <c r="E263" s="553" t="s">
        <v>5216</v>
      </c>
    </row>
    <row r="264" spans="1:5">
      <c r="A264" s="295" t="str">
        <f t="shared" si="3"/>
        <v>Weighing balance</v>
      </c>
      <c r="B264" s="20" t="s">
        <v>2159</v>
      </c>
      <c r="C264" s="20" t="s">
        <v>2496</v>
      </c>
      <c r="D264" s="289" t="s">
        <v>3810</v>
      </c>
      <c r="E264" s="553" t="s">
        <v>5217</v>
      </c>
    </row>
    <row r="265" spans="1:5">
      <c r="A265" s="295" t="str">
        <f t="shared" si="3"/>
        <v>Conductivity meter</v>
      </c>
      <c r="B265" s="20" t="s">
        <v>2160</v>
      </c>
      <c r="C265" s="20" t="s">
        <v>5218</v>
      </c>
      <c r="D265" s="289" t="s">
        <v>2965</v>
      </c>
      <c r="E265" s="553" t="s">
        <v>5219</v>
      </c>
    </row>
    <row r="266" spans="1:5" ht="27.6">
      <c r="A266" s="295" t="str">
        <f t="shared" si="3"/>
        <v>Distillator/reverse osmosis equipment</v>
      </c>
      <c r="B266" s="20" t="s">
        <v>2161</v>
      </c>
      <c r="C266" s="20" t="s">
        <v>5220</v>
      </c>
      <c r="D266" s="289" t="s">
        <v>3811</v>
      </c>
      <c r="E266" s="553" t="s">
        <v>5221</v>
      </c>
    </row>
    <row r="267" spans="1:5" ht="41.4">
      <c r="A267" s="295" t="str">
        <f t="shared" si="3"/>
        <v>Hot plate with magnetic stir bar (for mixing powdered media)</v>
      </c>
      <c r="B267" s="20" t="s">
        <v>2162</v>
      </c>
      <c r="C267" s="20" t="s">
        <v>4577</v>
      </c>
      <c r="D267" s="289" t="s">
        <v>3812</v>
      </c>
      <c r="E267" s="553" t="s">
        <v>5222</v>
      </c>
    </row>
    <row r="268" spans="1:5">
      <c r="A268" s="295" t="str">
        <f t="shared" si="3"/>
        <v>Water bath</v>
      </c>
      <c r="B268" s="20" t="s">
        <v>2163</v>
      </c>
      <c r="C268" s="20" t="s">
        <v>4891</v>
      </c>
      <c r="D268" s="289" t="s">
        <v>2966</v>
      </c>
      <c r="E268" s="553" t="s">
        <v>5223</v>
      </c>
    </row>
    <row r="269" spans="1:5">
      <c r="A269" s="295" t="str">
        <f t="shared" si="3"/>
        <v>Automated Instruments</v>
      </c>
      <c r="B269" s="20" t="s">
        <v>2182</v>
      </c>
      <c r="C269" s="20" t="s">
        <v>2498</v>
      </c>
      <c r="D269" s="289" t="s">
        <v>2967</v>
      </c>
      <c r="E269" s="553" t="s">
        <v>2967</v>
      </c>
    </row>
    <row r="270" spans="1:5">
      <c r="A270" s="295" t="str">
        <f t="shared" si="3"/>
        <v>Blood culture instrument</v>
      </c>
      <c r="B270" s="20" t="s">
        <v>2178</v>
      </c>
      <c r="C270" s="20" t="s">
        <v>5224</v>
      </c>
      <c r="D270" s="289" t="s">
        <v>3813</v>
      </c>
      <c r="E270" s="553" t="s">
        <v>5225</v>
      </c>
    </row>
    <row r="271" spans="1:5" ht="41.4">
      <c r="A271" s="295" t="str">
        <f t="shared" si="3"/>
        <v>Instrument for bacterial ID and AST (e.g. Vitek, Phoenix, Microscan)</v>
      </c>
      <c r="B271" s="20" t="s">
        <v>2194</v>
      </c>
      <c r="C271" s="20" t="s">
        <v>5226</v>
      </c>
      <c r="D271" s="289" t="s">
        <v>3814</v>
      </c>
      <c r="E271" s="553" t="s">
        <v>5227</v>
      </c>
    </row>
    <row r="272" spans="1:5" ht="41.4">
      <c r="A272" s="295" t="str">
        <f t="shared" si="3"/>
        <v>Instrument for reading disk diffusion (e.g. SIRSCAN, BIOMIC V3, ADAGIO, etc.)</v>
      </c>
      <c r="B272" s="20" t="s">
        <v>2193</v>
      </c>
      <c r="C272" s="20" t="s">
        <v>5228</v>
      </c>
      <c r="D272" s="289" t="s">
        <v>3815</v>
      </c>
      <c r="E272" s="553" t="s">
        <v>5229</v>
      </c>
    </row>
    <row r="273" spans="1:5" ht="27.6">
      <c r="A273" s="295" t="str">
        <f t="shared" si="3"/>
        <v xml:space="preserve">MALDI instrument for organism ID </v>
      </c>
      <c r="B273" s="20" t="s">
        <v>2180</v>
      </c>
      <c r="C273" s="20" t="s">
        <v>4579</v>
      </c>
      <c r="D273" s="289" t="s">
        <v>3816</v>
      </c>
      <c r="E273" s="553" t="s">
        <v>6816</v>
      </c>
    </row>
    <row r="274" spans="1:5" ht="27.6">
      <c r="A274" s="295" t="str">
        <f t="shared" si="3"/>
        <v xml:space="preserve">PCR instrument for antibiotic resistance gene detection </v>
      </c>
      <c r="B274" s="20" t="s">
        <v>2181</v>
      </c>
      <c r="C274" s="20" t="s">
        <v>4580</v>
      </c>
      <c r="D274" s="289" t="s">
        <v>3817</v>
      </c>
      <c r="E274" s="553" t="s">
        <v>5230</v>
      </c>
    </row>
    <row r="275" spans="1:5">
      <c r="A275" s="295" t="str">
        <f t="shared" ref="A275:A351" si="4">IF(langue=1,B275,IF(langue=2,C275,IF(langue=3,D275,IF(langue=4,E275,F275))))</f>
        <v>CONCLUSIONS</v>
      </c>
      <c r="B275" s="20" t="s">
        <v>4900</v>
      </c>
      <c r="C275" s="20" t="s">
        <v>4900</v>
      </c>
      <c r="D275" s="26" t="s">
        <v>4901</v>
      </c>
      <c r="E275" s="559" t="s">
        <v>4902</v>
      </c>
    </row>
    <row r="276" spans="1:5" ht="41.4">
      <c r="A276" s="295" t="str">
        <f t="shared" si="4"/>
        <v>Use the embedded MS Word file to summarize the main findings and recommendations in narrative format.</v>
      </c>
      <c r="B276" s="20" t="s">
        <v>6694</v>
      </c>
      <c r="C276" s="402" t="s">
        <v>6791</v>
      </c>
      <c r="D276" s="401" t="s">
        <v>6778</v>
      </c>
      <c r="E276" s="555" t="s">
        <v>6817</v>
      </c>
    </row>
    <row r="277" spans="1:5" ht="41.4">
      <c r="A277" s="295" t="str">
        <f t="shared" si="4"/>
        <v>To enter findings, double click inside the box below.</v>
      </c>
      <c r="B277" s="20" t="s">
        <v>6695</v>
      </c>
      <c r="C277" s="401" t="s">
        <v>6792</v>
      </c>
      <c r="D277" s="402" t="s">
        <v>6851</v>
      </c>
      <c r="E277" s="555" t="s">
        <v>6818</v>
      </c>
    </row>
    <row r="278" spans="1:5" ht="27.6">
      <c r="A278" s="295" t="str">
        <f t="shared" si="4"/>
        <v>To exit and save, click anywhere in the Excel grid.</v>
      </c>
      <c r="B278" s="20" t="s">
        <v>6696</v>
      </c>
      <c r="C278" s="402" t="s">
        <v>6775</v>
      </c>
      <c r="D278" s="401" t="s">
        <v>6776</v>
      </c>
      <c r="E278" s="555" t="s">
        <v>6777</v>
      </c>
    </row>
    <row r="279" spans="1:5">
      <c r="A279" s="295" t="str">
        <f t="shared" si="4"/>
        <v>PHOTOGRAPHS</v>
      </c>
      <c r="B279" s="20" t="s">
        <v>4903</v>
      </c>
      <c r="C279" s="20" t="s">
        <v>4904</v>
      </c>
      <c r="D279" s="26" t="s">
        <v>4905</v>
      </c>
      <c r="E279" s="559" t="s">
        <v>4906</v>
      </c>
    </row>
    <row r="280" spans="1:5" ht="55.2">
      <c r="A280" s="295" t="str">
        <f t="shared" si="4"/>
        <v>Before inserting photos, resize them to less than 500KB/2MP (size “Medium”) in order to keep the final Excel file size small</v>
      </c>
      <c r="B280" s="26" t="s">
        <v>6693</v>
      </c>
      <c r="C280" s="402" t="s">
        <v>6793</v>
      </c>
      <c r="D280" s="402" t="s">
        <v>6774</v>
      </c>
      <c r="E280" s="555" t="s">
        <v>6819</v>
      </c>
    </row>
    <row r="281" spans="1:5" ht="27.6">
      <c r="A281" s="295" t="str">
        <f t="shared" si="4"/>
        <v>Up to 6 photographs may be inserted.</v>
      </c>
      <c r="B281" s="20" t="s">
        <v>6691</v>
      </c>
      <c r="C281" s="402" t="s">
        <v>6771</v>
      </c>
      <c r="D281" s="399" t="s">
        <v>6772</v>
      </c>
      <c r="E281" s="555" t="s">
        <v>6773</v>
      </c>
    </row>
    <row r="282" spans="1:5" ht="41.4">
      <c r="A282" s="295" t="str">
        <f t="shared" si="4"/>
        <v>Obtain permission before taking photos, and avoid capturing any patient identifiers</v>
      </c>
      <c r="B282" s="20" t="s">
        <v>6692</v>
      </c>
      <c r="C282" s="402" t="s">
        <v>6794</v>
      </c>
      <c r="D282" s="26" t="s">
        <v>6770</v>
      </c>
      <c r="E282" s="555" t="s">
        <v>6820</v>
      </c>
    </row>
    <row r="283" spans="1:5">
      <c r="A283" s="295" t="str">
        <f t="shared" si="4"/>
        <v>FLAGS</v>
      </c>
      <c r="B283" s="20" t="s">
        <v>642</v>
      </c>
      <c r="C283" s="20" t="s">
        <v>5231</v>
      </c>
      <c r="D283" s="289" t="s">
        <v>3818</v>
      </c>
      <c r="E283" s="553" t="s">
        <v>5232</v>
      </c>
    </row>
    <row r="284" spans="1:5" ht="55.2">
      <c r="A284" s="295" t="str">
        <f t="shared" si="4"/>
        <v>Red Flags represent practices that may put patients or staff at risk and should be corrected immediately</v>
      </c>
      <c r="B284" s="20" t="s">
        <v>2207</v>
      </c>
      <c r="C284" s="20" t="s">
        <v>5233</v>
      </c>
      <c r="D284" s="289" t="s">
        <v>3819</v>
      </c>
      <c r="E284" s="553" t="s">
        <v>5234</v>
      </c>
    </row>
    <row r="285" spans="1:5" ht="55.2">
      <c r="A285" s="295" t="str">
        <f t="shared" si="4"/>
        <v>Training Opportunities highlight areas where sufficient training is frequently lacking</v>
      </c>
      <c r="B285" s="20" t="s">
        <v>1988</v>
      </c>
      <c r="C285" s="20" t="s">
        <v>5235</v>
      </c>
      <c r="D285" s="289" t="s">
        <v>3820</v>
      </c>
      <c r="E285" s="553" t="s">
        <v>5236</v>
      </c>
    </row>
    <row r="286" spans="1:5" ht="96.6">
      <c r="A286" s="295" t="str">
        <f t="shared" si="4"/>
        <v>System Flags highlight problems with the Hospital System or with National Systems. Lab leadership may need to reach out to Hospital or National leadership for assistance to change</v>
      </c>
      <c r="B286" s="20" t="s">
        <v>7250</v>
      </c>
      <c r="C286" s="20" t="s">
        <v>5237</v>
      </c>
      <c r="D286" s="129" t="s">
        <v>3821</v>
      </c>
      <c r="E286" s="553" t="s">
        <v>5238</v>
      </c>
    </row>
    <row r="287" spans="1:5">
      <c r="A287" s="295" t="str">
        <f t="shared" si="4"/>
        <v>Red Flags</v>
      </c>
      <c r="B287" s="20" t="s">
        <v>1886</v>
      </c>
      <c r="C287" s="20" t="s">
        <v>2426</v>
      </c>
      <c r="D287" s="289" t="s">
        <v>3822</v>
      </c>
      <c r="E287" s="553" t="s">
        <v>5239</v>
      </c>
    </row>
    <row r="288" spans="1:5">
      <c r="A288" s="295" t="str">
        <f t="shared" si="4"/>
        <v>Response</v>
      </c>
      <c r="B288" s="20" t="s">
        <v>6697</v>
      </c>
      <c r="C288" s="401" t="s">
        <v>6763</v>
      </c>
      <c r="D288" s="402" t="s">
        <v>6762</v>
      </c>
      <c r="E288" s="555" t="s">
        <v>6761</v>
      </c>
    </row>
    <row r="289" spans="1:5">
      <c r="A289" s="295" t="str">
        <f t="shared" si="4"/>
        <v>Trigger</v>
      </c>
      <c r="B289" s="20" t="s">
        <v>4893</v>
      </c>
      <c r="C289" s="402" t="s">
        <v>6764</v>
      </c>
      <c r="D289" s="402" t="s">
        <v>6765</v>
      </c>
      <c r="E289" s="555" t="s">
        <v>6766</v>
      </c>
    </row>
    <row r="290" spans="1:5">
      <c r="A290" s="295" t="str">
        <f t="shared" si="4"/>
        <v>Module</v>
      </c>
      <c r="B290" s="20" t="s">
        <v>2393</v>
      </c>
      <c r="C290" s="402" t="s">
        <v>2393</v>
      </c>
      <c r="D290" s="402" t="s">
        <v>6767</v>
      </c>
      <c r="E290" s="555" t="s">
        <v>6767</v>
      </c>
    </row>
    <row r="291" spans="1:5">
      <c r="A291" s="295" t="str">
        <f t="shared" si="4"/>
        <v>Question</v>
      </c>
      <c r="B291" s="20" t="s">
        <v>2381</v>
      </c>
      <c r="C291" s="402" t="s">
        <v>2381</v>
      </c>
      <c r="D291" s="402" t="s">
        <v>6769</v>
      </c>
      <c r="E291" s="555" t="s">
        <v>6768</v>
      </c>
    </row>
    <row r="292" spans="1:5" ht="27.6">
      <c r="A292" s="295" t="str">
        <f t="shared" si="4"/>
        <v>Indicate whether the lab has the following FUNCTIONAL pieces of equipment.</v>
      </c>
      <c r="B292" s="20" t="s">
        <v>1989</v>
      </c>
      <c r="C292" s="20" t="s">
        <v>6699</v>
      </c>
      <c r="D292" s="289" t="s">
        <v>6701</v>
      </c>
      <c r="E292" s="553" t="s">
        <v>6700</v>
      </c>
    </row>
    <row r="293" spans="1:5" ht="27.6">
      <c r="A293" s="295" t="str">
        <f t="shared" si="4"/>
        <v>Has calibration been performed within the last year?</v>
      </c>
      <c r="B293" s="20" t="s">
        <v>6698</v>
      </c>
      <c r="C293" s="20" t="s">
        <v>6702</v>
      </c>
      <c r="D293" s="289" t="s">
        <v>6703</v>
      </c>
      <c r="E293" s="553" t="s">
        <v>6704</v>
      </c>
    </row>
    <row r="294" spans="1:5">
      <c r="A294" s="295" t="str">
        <f t="shared" si="4"/>
        <v>Training Opportunities</v>
      </c>
      <c r="B294" s="20" t="s">
        <v>1891</v>
      </c>
      <c r="C294" s="20" t="s">
        <v>2427</v>
      </c>
      <c r="D294" s="289" t="s">
        <v>3687</v>
      </c>
      <c r="E294" s="553" t="s">
        <v>5240</v>
      </c>
    </row>
    <row r="295" spans="1:5">
      <c r="A295" s="295" t="str">
        <f t="shared" si="4"/>
        <v>System Flag</v>
      </c>
      <c r="B295" s="20" t="s">
        <v>1888</v>
      </c>
      <c r="C295" s="20" t="s">
        <v>4581</v>
      </c>
      <c r="D295" s="129" t="s">
        <v>3823</v>
      </c>
      <c r="E295" s="553" t="s">
        <v>5241</v>
      </c>
    </row>
    <row r="296" spans="1:5">
      <c r="A296" s="295" t="str">
        <f t="shared" si="4"/>
        <v>Total number of Red Flags</v>
      </c>
      <c r="B296" s="20" t="s">
        <v>1887</v>
      </c>
      <c r="C296" s="20" t="s">
        <v>2499</v>
      </c>
      <c r="D296" s="129" t="s">
        <v>3824</v>
      </c>
      <c r="E296" s="553" t="s">
        <v>5242</v>
      </c>
    </row>
    <row r="297" spans="1:5" ht="27.6">
      <c r="A297" s="295" t="str">
        <f t="shared" si="4"/>
        <v>Total number of Training Opportunities</v>
      </c>
      <c r="B297" s="20" t="s">
        <v>1890</v>
      </c>
      <c r="C297" s="20" t="s">
        <v>5243</v>
      </c>
      <c r="D297" s="289" t="s">
        <v>3825</v>
      </c>
      <c r="E297" s="553" t="s">
        <v>5244</v>
      </c>
    </row>
    <row r="298" spans="1:5">
      <c r="A298" s="295" t="str">
        <f t="shared" si="4"/>
        <v>Total number of System Flags</v>
      </c>
      <c r="B298" s="20" t="s">
        <v>1889</v>
      </c>
      <c r="C298" s="20" t="s">
        <v>5245</v>
      </c>
      <c r="D298" s="129" t="s">
        <v>3826</v>
      </c>
      <c r="E298" s="553" t="s">
        <v>5246</v>
      </c>
    </row>
    <row r="299" spans="1:5">
      <c r="A299" s="295" t="str">
        <f t="shared" si="4"/>
        <v>0- GENERAL INFORMATION</v>
      </c>
      <c r="B299" s="20" t="s">
        <v>0</v>
      </c>
      <c r="C299" s="20" t="s">
        <v>2500</v>
      </c>
      <c r="D299" s="289" t="s">
        <v>2968</v>
      </c>
      <c r="E299" s="553" t="s">
        <v>5247</v>
      </c>
    </row>
    <row r="300" spans="1:5" ht="27.6">
      <c r="A300" s="295" t="str">
        <f t="shared" si="4"/>
        <v>LABORATORY DEMOGRAPHICS</v>
      </c>
      <c r="B300" s="20" t="s">
        <v>812</v>
      </c>
      <c r="C300" s="20" t="s">
        <v>4582</v>
      </c>
      <c r="D300" s="129" t="s">
        <v>3827</v>
      </c>
      <c r="E300" s="553" t="s">
        <v>5248</v>
      </c>
    </row>
    <row r="301" spans="1:5">
      <c r="A301" s="295" t="str">
        <f t="shared" si="4"/>
        <v>Assessor 1 (name and affiliation)</v>
      </c>
      <c r="B301" s="20" t="s">
        <v>7255</v>
      </c>
      <c r="C301" s="20" t="s">
        <v>4583</v>
      </c>
      <c r="D301" s="289" t="s">
        <v>7258</v>
      </c>
      <c r="E301" s="553" t="s">
        <v>7261</v>
      </c>
    </row>
    <row r="302" spans="1:5">
      <c r="A302" s="295" t="str">
        <f t="shared" si="4"/>
        <v>Assessor 2 (name and affiliation)</v>
      </c>
      <c r="B302" s="20" t="s">
        <v>7256</v>
      </c>
      <c r="C302" s="20" t="s">
        <v>4584</v>
      </c>
      <c r="D302" s="289" t="s">
        <v>7259</v>
      </c>
      <c r="E302" s="553" t="s">
        <v>7262</v>
      </c>
    </row>
    <row r="303" spans="1:5">
      <c r="A303" s="295" t="str">
        <f t="shared" si="4"/>
        <v>Assessor 3 (name and affiliation)</v>
      </c>
      <c r="B303" s="20" t="s">
        <v>7257</v>
      </c>
      <c r="C303" s="20" t="s">
        <v>4585</v>
      </c>
      <c r="D303" s="289" t="s">
        <v>7260</v>
      </c>
      <c r="E303" s="553" t="s">
        <v>7263</v>
      </c>
    </row>
    <row r="304" spans="1:5">
      <c r="A304" s="295" t="str">
        <f t="shared" si="4"/>
        <v>Date of assessment (dd/mm/yyyy)</v>
      </c>
      <c r="B304" s="20" t="s">
        <v>8</v>
      </c>
      <c r="C304" s="20" t="s">
        <v>4586</v>
      </c>
      <c r="D304" s="289" t="s">
        <v>2969</v>
      </c>
      <c r="E304" s="553" t="s">
        <v>5249</v>
      </c>
    </row>
    <row r="305" spans="1:5">
      <c r="A305" s="295" t="str">
        <f t="shared" si="4"/>
        <v xml:space="preserve">Laboratory/Hospital name </v>
      </c>
      <c r="B305" s="20" t="s">
        <v>296</v>
      </c>
      <c r="C305" s="20" t="s">
        <v>2501</v>
      </c>
      <c r="D305" s="289" t="s">
        <v>2970</v>
      </c>
      <c r="E305" s="553" t="s">
        <v>5250</v>
      </c>
    </row>
    <row r="306" spans="1:5">
      <c r="A306" s="295" t="str">
        <f t="shared" si="4"/>
        <v>Address</v>
      </c>
      <c r="B306" s="20" t="s">
        <v>297</v>
      </c>
      <c r="C306" s="20" t="s">
        <v>2502</v>
      </c>
      <c r="D306" s="289" t="s">
        <v>2971</v>
      </c>
      <c r="E306" s="553" t="s">
        <v>5251</v>
      </c>
    </row>
    <row r="307" spans="1:5">
      <c r="A307" s="295" t="str">
        <f t="shared" si="4"/>
        <v>City</v>
      </c>
      <c r="B307" s="20" t="s">
        <v>269</v>
      </c>
      <c r="C307" s="20" t="s">
        <v>2503</v>
      </c>
      <c r="D307" s="289" t="s">
        <v>2972</v>
      </c>
      <c r="E307" s="553" t="s">
        <v>5252</v>
      </c>
    </row>
    <row r="308" spans="1:5">
      <c r="A308" s="295" t="str">
        <f t="shared" si="4"/>
        <v>Province</v>
      </c>
      <c r="B308" s="20" t="s">
        <v>303</v>
      </c>
      <c r="C308" s="20" t="s">
        <v>303</v>
      </c>
      <c r="D308" s="289" t="s">
        <v>2973</v>
      </c>
      <c r="E308" s="553" t="s">
        <v>5253</v>
      </c>
    </row>
    <row r="309" spans="1:5">
      <c r="A309" s="295" t="str">
        <f t="shared" si="4"/>
        <v>District</v>
      </c>
      <c r="B309" s="20" t="s">
        <v>298</v>
      </c>
      <c r="C309" s="20" t="s">
        <v>298</v>
      </c>
      <c r="D309" s="289" t="s">
        <v>2974</v>
      </c>
      <c r="E309" s="553" t="s">
        <v>2974</v>
      </c>
    </row>
    <row r="310" spans="1:5">
      <c r="A310" s="295" t="str">
        <f t="shared" si="4"/>
        <v>Country</v>
      </c>
      <c r="B310" s="20" t="s">
        <v>295</v>
      </c>
      <c r="C310" s="20" t="s">
        <v>2416</v>
      </c>
      <c r="D310" s="289" t="s">
        <v>2898</v>
      </c>
      <c r="E310" s="553" t="s">
        <v>2898</v>
      </c>
    </row>
    <row r="311" spans="1:5" ht="96.6">
      <c r="A311" s="295" t="str">
        <f t="shared" si="4"/>
        <v>GPS position of the laboratory (used for GIS representation of indicators). PLEASE ONLY USE DIGITAL DEGREE WITH + OR - SIGN. DO NOT USE DEGREES, MINUTES, SECONDS</v>
      </c>
      <c r="B311" s="20" t="s">
        <v>5254</v>
      </c>
      <c r="C311" s="20" t="s">
        <v>5255</v>
      </c>
      <c r="D311" s="129" t="s">
        <v>5256</v>
      </c>
      <c r="E311" s="553" t="s">
        <v>5257</v>
      </c>
    </row>
    <row r="312" spans="1:5" ht="27.6">
      <c r="A312" s="295" t="str">
        <f t="shared" si="4"/>
        <v>For altitude, enter meters without digits.                                                   Altitude</v>
      </c>
      <c r="B312" s="20" t="s">
        <v>6670</v>
      </c>
      <c r="C312" s="20" t="s">
        <v>6673</v>
      </c>
      <c r="D312" s="129" t="s">
        <v>6675</v>
      </c>
      <c r="E312" s="553" t="s">
        <v>6678</v>
      </c>
    </row>
    <row r="313" spans="1:5" ht="27.6">
      <c r="A313" s="295" t="str">
        <f t="shared" si="4"/>
        <v>Example: If altitude is 61.49 meters, enter 61</v>
      </c>
      <c r="B313" s="20" t="s">
        <v>6669</v>
      </c>
      <c r="C313" s="399" t="s">
        <v>6742</v>
      </c>
      <c r="D313" s="398" t="s">
        <v>6741</v>
      </c>
      <c r="E313" s="555" t="s">
        <v>6740</v>
      </c>
    </row>
    <row r="314" spans="1:5" ht="41.4">
      <c r="A314" s="295" t="str">
        <f t="shared" si="4"/>
        <v>For latitude, enter digital degrees with 5 digits after the comma.           Latitude</v>
      </c>
      <c r="B314" s="20" t="s">
        <v>6671</v>
      </c>
      <c r="C314" s="20" t="s">
        <v>6674</v>
      </c>
      <c r="D314" s="129" t="s">
        <v>6676</v>
      </c>
      <c r="E314" s="553" t="s">
        <v>6679</v>
      </c>
    </row>
    <row r="315" spans="1:5">
      <c r="A315" s="295" t="str">
        <f t="shared" si="4"/>
        <v>Example: 41,40338</v>
      </c>
      <c r="B315" s="20" t="s">
        <v>6680</v>
      </c>
      <c r="C315" s="20" t="s">
        <v>6745</v>
      </c>
      <c r="D315" s="20" t="s">
        <v>6744</v>
      </c>
      <c r="E315" s="553" t="s">
        <v>6743</v>
      </c>
    </row>
    <row r="316" spans="1:5" ht="41.4">
      <c r="A316" s="295" t="str">
        <f t="shared" si="4"/>
        <v>For longitude, enter digital degrees with 5 digits after the comma.    Longitude</v>
      </c>
      <c r="B316" s="20" t="s">
        <v>6672</v>
      </c>
      <c r="C316" s="20" t="s">
        <v>6682</v>
      </c>
      <c r="D316" s="129" t="s">
        <v>6677</v>
      </c>
      <c r="E316" s="553" t="s">
        <v>6683</v>
      </c>
    </row>
    <row r="317" spans="1:5">
      <c r="A317" s="295" t="str">
        <f t="shared" si="4"/>
        <v>Example: -2,17403</v>
      </c>
      <c r="B317" s="20" t="s">
        <v>6681</v>
      </c>
      <c r="C317" s="20" t="s">
        <v>6748</v>
      </c>
      <c r="D317" s="20" t="s">
        <v>6747</v>
      </c>
      <c r="E317" s="553" t="s">
        <v>6746</v>
      </c>
    </row>
    <row r="318" spans="1:5" ht="69">
      <c r="A318" s="295" t="str">
        <f t="shared" si="4"/>
        <v>Contact information of the relevant bacteriology laboratory leadership; e.g., Director, Manager, Supervisor, Section Head, Quality Officer</v>
      </c>
      <c r="B318" s="20" t="s">
        <v>294</v>
      </c>
      <c r="C318" s="20" t="s">
        <v>7214</v>
      </c>
      <c r="D318" s="289" t="s">
        <v>3828</v>
      </c>
      <c r="E318" s="553" t="s">
        <v>5258</v>
      </c>
    </row>
    <row r="319" spans="1:5">
      <c r="A319" s="295" t="str">
        <f t="shared" si="4"/>
        <v>Title/Position</v>
      </c>
      <c r="B319" s="20" t="s">
        <v>249</v>
      </c>
      <c r="C319" s="20" t="s">
        <v>2504</v>
      </c>
      <c r="D319" s="289" t="s">
        <v>2975</v>
      </c>
      <c r="E319" s="553" t="s">
        <v>5259</v>
      </c>
    </row>
    <row r="320" spans="1:5" ht="27.6">
      <c r="A320" s="295" t="str">
        <f t="shared" si="4"/>
        <v>Head of Micro Lab</v>
      </c>
      <c r="B320" s="20" t="s">
        <v>2361</v>
      </c>
      <c r="C320" s="20" t="s">
        <v>4587</v>
      </c>
      <c r="D320" s="289" t="s">
        <v>3829</v>
      </c>
      <c r="E320" s="553" t="s">
        <v>5260</v>
      </c>
    </row>
    <row r="321" spans="1:5">
      <c r="A321" s="295" t="str">
        <f t="shared" si="4"/>
        <v>Head Technician</v>
      </c>
      <c r="B321" s="20" t="s">
        <v>2362</v>
      </c>
      <c r="C321" s="20" t="s">
        <v>2505</v>
      </c>
      <c r="D321" s="289" t="s">
        <v>3830</v>
      </c>
      <c r="E321" s="553" t="s">
        <v>5261</v>
      </c>
    </row>
    <row r="322" spans="1:5">
      <c r="A322" s="295" t="str">
        <f t="shared" si="4"/>
        <v>Lab Sicentist</v>
      </c>
      <c r="B322" s="20" t="s">
        <v>2363</v>
      </c>
      <c r="C322" s="20" t="s">
        <v>4588</v>
      </c>
      <c r="D322" s="129" t="s">
        <v>3831</v>
      </c>
      <c r="E322" s="553" t="s">
        <v>6821</v>
      </c>
    </row>
    <row r="323" spans="1:5">
      <c r="A323" s="295" t="str">
        <f t="shared" si="4"/>
        <v>Lab Sicentist</v>
      </c>
      <c r="B323" s="20" t="s">
        <v>2363</v>
      </c>
      <c r="C323" s="20" t="s">
        <v>4588</v>
      </c>
      <c r="D323" s="129" t="s">
        <v>3831</v>
      </c>
      <c r="E323" s="553" t="s">
        <v>6821</v>
      </c>
    </row>
    <row r="324" spans="1:5">
      <c r="A324" s="295" t="str">
        <f t="shared" si="4"/>
        <v>Head Culture Room</v>
      </c>
      <c r="B324" s="20" t="s">
        <v>2364</v>
      </c>
      <c r="C324" s="20" t="s">
        <v>4589</v>
      </c>
      <c r="D324" s="129" t="s">
        <v>3832</v>
      </c>
      <c r="E324" s="553" t="s">
        <v>5262</v>
      </c>
    </row>
    <row r="325" spans="1:5">
      <c r="A325" s="295" t="str">
        <f t="shared" si="4"/>
        <v>Lab Sicentist</v>
      </c>
      <c r="B325" s="20" t="s">
        <v>2363</v>
      </c>
      <c r="C325" s="20" t="s">
        <v>4588</v>
      </c>
      <c r="D325" s="129" t="s">
        <v>3831</v>
      </c>
      <c r="E325" s="553" t="s">
        <v>6821</v>
      </c>
    </row>
    <row r="326" spans="1:5">
      <c r="A326" s="295" t="str">
        <f t="shared" si="4"/>
        <v>Lab Sicentist</v>
      </c>
      <c r="B326" s="20" t="s">
        <v>2363</v>
      </c>
      <c r="C326" s="20" t="s">
        <v>4588</v>
      </c>
      <c r="D326" s="129" t="s">
        <v>3831</v>
      </c>
      <c r="E326" s="553" t="s">
        <v>6821</v>
      </c>
    </row>
    <row r="327" spans="1:5" ht="27.6">
      <c r="A327" s="295" t="str">
        <f t="shared" si="4"/>
        <v>Primary Laboratory/Facility funding sources</v>
      </c>
      <c r="B327" s="20" t="s">
        <v>300</v>
      </c>
      <c r="C327" s="20" t="s">
        <v>5263</v>
      </c>
      <c r="D327" s="289" t="s">
        <v>3833</v>
      </c>
      <c r="E327" s="553" t="s">
        <v>5264</v>
      </c>
    </row>
    <row r="328" spans="1:5">
      <c r="A328" s="295" t="str">
        <f t="shared" si="4"/>
        <v>1. Public/Government</v>
      </c>
      <c r="B328" s="20" t="s">
        <v>633</v>
      </c>
      <c r="C328" s="20" t="s">
        <v>2506</v>
      </c>
      <c r="D328" s="289" t="s">
        <v>2976</v>
      </c>
      <c r="E328" s="553" t="s">
        <v>5265</v>
      </c>
    </row>
    <row r="329" spans="1:5">
      <c r="A329" s="295" t="str">
        <f t="shared" si="4"/>
        <v>2. Private</v>
      </c>
      <c r="B329" s="20" t="s">
        <v>634</v>
      </c>
      <c r="C329" s="20" t="s">
        <v>2507</v>
      </c>
      <c r="D329" s="289" t="s">
        <v>2977</v>
      </c>
      <c r="E329" s="553" t="s">
        <v>2977</v>
      </c>
    </row>
    <row r="330" spans="1:5" ht="27.6">
      <c r="A330" s="295" t="str">
        <f t="shared" si="4"/>
        <v>3. NGO/Faith-based/Donors</v>
      </c>
      <c r="B330" s="20" t="s">
        <v>635</v>
      </c>
      <c r="C330" s="20" t="s">
        <v>5266</v>
      </c>
      <c r="D330" s="289" t="s">
        <v>3834</v>
      </c>
      <c r="E330" s="553" t="s">
        <v>5267</v>
      </c>
    </row>
    <row r="331" spans="1:5">
      <c r="A331" s="295" t="str">
        <f t="shared" si="4"/>
        <v>4. Other</v>
      </c>
      <c r="B331" s="20" t="s">
        <v>301</v>
      </c>
      <c r="C331" s="20" t="s">
        <v>2508</v>
      </c>
      <c r="D331" s="289" t="s">
        <v>3835</v>
      </c>
      <c r="E331" s="553" t="s">
        <v>5268</v>
      </c>
    </row>
    <row r="332" spans="1:5">
      <c r="A332" s="295" t="str">
        <f t="shared" si="4"/>
        <v>Primary Laboratory affiliation</v>
      </c>
      <c r="B332" s="20" t="s">
        <v>299</v>
      </c>
      <c r="C332" s="20" t="s">
        <v>5269</v>
      </c>
      <c r="D332" s="289" t="s">
        <v>3836</v>
      </c>
      <c r="E332" s="553" t="s">
        <v>5270</v>
      </c>
    </row>
    <row r="333" spans="1:5" ht="27.6">
      <c r="A333" s="295" t="str">
        <f t="shared" si="4"/>
        <v>1. Hospital: University Medical Center or Teaching Hospital</v>
      </c>
      <c r="B333" s="20" t="s">
        <v>1548</v>
      </c>
      <c r="C333" s="20" t="s">
        <v>5271</v>
      </c>
      <c r="D333" s="289" t="s">
        <v>3837</v>
      </c>
      <c r="E333" s="553" t="s">
        <v>5272</v>
      </c>
    </row>
    <row r="334" spans="1:5">
      <c r="A334" s="295" t="str">
        <f t="shared" si="4"/>
        <v>2. Hospital: Military</v>
      </c>
      <c r="B334" s="20" t="s">
        <v>1547</v>
      </c>
      <c r="C334" s="20" t="s">
        <v>2509</v>
      </c>
      <c r="D334" s="289" t="s">
        <v>3838</v>
      </c>
      <c r="E334" s="553" t="s">
        <v>3838</v>
      </c>
    </row>
    <row r="335" spans="1:5">
      <c r="A335" s="295" t="str">
        <f t="shared" si="4"/>
        <v>3. Hospital: (not academic or military)</v>
      </c>
      <c r="B335" s="20" t="s">
        <v>1549</v>
      </c>
      <c r="C335" s="20" t="s">
        <v>2510</v>
      </c>
      <c r="D335" s="289" t="s">
        <v>3839</v>
      </c>
      <c r="E335" s="553" t="s">
        <v>5273</v>
      </c>
    </row>
    <row r="336" spans="1:5">
      <c r="A336" s="295" t="str">
        <f t="shared" si="4"/>
        <v>4. Clinic (primarily outpatient)</v>
      </c>
      <c r="B336" s="20" t="s">
        <v>1544</v>
      </c>
      <c r="C336" s="20" t="s">
        <v>2511</v>
      </c>
      <c r="D336" s="289" t="s">
        <v>3840</v>
      </c>
      <c r="E336" s="553" t="s">
        <v>5274</v>
      </c>
    </row>
    <row r="337" spans="1:5" ht="27.6">
      <c r="A337" s="295" t="str">
        <f t="shared" si="4"/>
        <v>5. Reference/referral lab within a Public Health Institute</v>
      </c>
      <c r="B337" s="20" t="s">
        <v>636</v>
      </c>
      <c r="C337" s="20" t="s">
        <v>4590</v>
      </c>
      <c r="D337" s="289" t="s">
        <v>3841</v>
      </c>
      <c r="E337" s="553" t="s">
        <v>5275</v>
      </c>
    </row>
    <row r="338" spans="1:5" ht="41.4">
      <c r="A338" s="295" t="str">
        <f t="shared" si="4"/>
        <v>6. Reference/referral lab not affiliated with a single healthcare facility or public health institute</v>
      </c>
      <c r="B338" s="20" t="s">
        <v>1545</v>
      </c>
      <c r="C338" s="20" t="s">
        <v>5276</v>
      </c>
      <c r="D338" s="289" t="s">
        <v>3842</v>
      </c>
      <c r="E338" s="553" t="s">
        <v>5277</v>
      </c>
    </row>
    <row r="339" spans="1:5" ht="27.6">
      <c r="A339" s="295" t="str">
        <f t="shared" si="4"/>
        <v>7. Other, e.g., Research Laboratory</v>
      </c>
      <c r="B339" s="20" t="s">
        <v>1546</v>
      </c>
      <c r="C339" s="20" t="s">
        <v>2512</v>
      </c>
      <c r="D339" s="289" t="s">
        <v>3843</v>
      </c>
      <c r="E339" s="553" t="s">
        <v>5278</v>
      </c>
    </row>
    <row r="340" spans="1:5" ht="41.4">
      <c r="A340" s="295" t="str">
        <f t="shared" si="4"/>
        <v>Laboratory/Facility Level (if primarily government funded)</v>
      </c>
      <c r="B340" s="20" t="s">
        <v>302</v>
      </c>
      <c r="C340" s="20" t="s">
        <v>5279</v>
      </c>
      <c r="D340" s="289" t="s">
        <v>3844</v>
      </c>
      <c r="E340" s="553" t="s">
        <v>5280</v>
      </c>
    </row>
    <row r="341" spans="1:5">
      <c r="A341" s="295" t="str">
        <f t="shared" si="4"/>
        <v>1. National</v>
      </c>
      <c r="B341" s="20" t="s">
        <v>305</v>
      </c>
      <c r="C341" s="20" t="s">
        <v>305</v>
      </c>
      <c r="D341" s="289" t="s">
        <v>3845</v>
      </c>
      <c r="E341" s="553" t="s">
        <v>3845</v>
      </c>
    </row>
    <row r="342" spans="1:5">
      <c r="A342" s="295" t="str">
        <f t="shared" si="4"/>
        <v xml:space="preserve">2. Regional </v>
      </c>
      <c r="B342" s="20" t="s">
        <v>304</v>
      </c>
      <c r="C342" s="20" t="s">
        <v>6869</v>
      </c>
      <c r="D342" s="289" t="s">
        <v>2979</v>
      </c>
      <c r="E342" s="553" t="s">
        <v>304</v>
      </c>
    </row>
    <row r="343" spans="1:5">
      <c r="A343" s="295" t="str">
        <f t="shared" si="4"/>
        <v>3. Provincial</v>
      </c>
      <c r="B343" s="20" t="s">
        <v>2980</v>
      </c>
      <c r="C343" s="20" t="s">
        <v>2980</v>
      </c>
      <c r="D343" s="289" t="s">
        <v>2980</v>
      </c>
      <c r="E343" s="553" t="s">
        <v>2980</v>
      </c>
    </row>
    <row r="344" spans="1:5">
      <c r="A344" s="295" t="str">
        <f t="shared" si="4"/>
        <v>4. District</v>
      </c>
      <c r="B344" s="20" t="s">
        <v>306</v>
      </c>
      <c r="C344" s="20" t="s">
        <v>306</v>
      </c>
      <c r="D344" s="289" t="s">
        <v>2981</v>
      </c>
      <c r="E344" s="553" t="s">
        <v>6822</v>
      </c>
    </row>
    <row r="345" spans="1:5">
      <c r="A345" s="295" t="str">
        <f t="shared" si="4"/>
        <v>5. NA</v>
      </c>
      <c r="B345" s="20" t="s">
        <v>307</v>
      </c>
      <c r="C345" s="20" t="s">
        <v>307</v>
      </c>
      <c r="D345" s="289" t="s">
        <v>307</v>
      </c>
      <c r="E345" s="553" t="s">
        <v>307</v>
      </c>
    </row>
    <row r="346" spans="1:5" ht="27.6">
      <c r="A346" s="295" t="str">
        <f t="shared" si="4"/>
        <v>Service level of the Hospital/Healthcare Facility</v>
      </c>
      <c r="B346" s="20" t="s">
        <v>1606</v>
      </c>
      <c r="C346" s="20" t="s">
        <v>2513</v>
      </c>
      <c r="D346" s="289" t="s">
        <v>3846</v>
      </c>
      <c r="E346" s="553" t="s">
        <v>5281</v>
      </c>
    </row>
    <row r="347" spans="1:5">
      <c r="A347" s="295" t="str">
        <f t="shared" si="4"/>
        <v>1. Primary</v>
      </c>
      <c r="B347" s="41" t="s">
        <v>1603</v>
      </c>
      <c r="C347" s="41" t="s">
        <v>2514</v>
      </c>
      <c r="D347" s="291" t="s">
        <v>3847</v>
      </c>
      <c r="E347" s="553" t="s">
        <v>5282</v>
      </c>
    </row>
    <row r="348" spans="1:5">
      <c r="A348" s="295" t="str">
        <f t="shared" si="4"/>
        <v>2. Secondary</v>
      </c>
      <c r="B348" s="8" t="s">
        <v>1604</v>
      </c>
      <c r="C348" s="8" t="s">
        <v>2515</v>
      </c>
      <c r="D348" s="290" t="s">
        <v>3848</v>
      </c>
      <c r="E348" s="553" t="s">
        <v>5283</v>
      </c>
    </row>
    <row r="349" spans="1:5">
      <c r="A349" s="295" t="str">
        <f t="shared" si="4"/>
        <v>3. Tertiary</v>
      </c>
      <c r="B349" s="41" t="s">
        <v>1605</v>
      </c>
      <c r="C349" s="41" t="s">
        <v>2516</v>
      </c>
      <c r="D349" s="291" t="s">
        <v>2982</v>
      </c>
      <c r="E349" s="553" t="s">
        <v>5284</v>
      </c>
    </row>
    <row r="350" spans="1:5">
      <c r="A350" s="295" t="str">
        <f t="shared" si="4"/>
        <v>4. Other</v>
      </c>
      <c r="B350" s="8" t="s">
        <v>301</v>
      </c>
      <c r="C350" s="8" t="s">
        <v>2508</v>
      </c>
      <c r="D350" s="290" t="s">
        <v>2978</v>
      </c>
      <c r="E350" s="553" t="s">
        <v>5285</v>
      </c>
    </row>
    <row r="351" spans="1:5">
      <c r="A351" s="295" t="str">
        <f t="shared" si="4"/>
        <v>5. NA</v>
      </c>
      <c r="B351" s="41" t="s">
        <v>307</v>
      </c>
      <c r="C351" s="41" t="s">
        <v>307</v>
      </c>
      <c r="D351" s="291" t="s">
        <v>307</v>
      </c>
      <c r="E351" s="553" t="s">
        <v>307</v>
      </c>
    </row>
    <row r="352" spans="1:5" ht="27.6">
      <c r="A352" s="295" t="str">
        <f t="shared" ref="A352:A416" si="5">IF(langue=1,B352,IF(langue=2,C352,IF(langue=3,D352,IF(langue=4,E352,F352))))</f>
        <v>Number of beds of the Hospital/Healthcare Facility</v>
      </c>
      <c r="B352" s="8" t="s">
        <v>1607</v>
      </c>
      <c r="C352" s="8" t="s">
        <v>2517</v>
      </c>
      <c r="D352" s="290" t="s">
        <v>3849</v>
      </c>
      <c r="E352" s="553" t="s">
        <v>5286</v>
      </c>
    </row>
    <row r="353" spans="1:5">
      <c r="A353" s="295" t="str">
        <f t="shared" si="5"/>
        <v>(&lt;100, 100-499, 500-1000, &gt;1000, NA)</v>
      </c>
      <c r="B353" s="8" t="s">
        <v>7249</v>
      </c>
      <c r="C353" s="8" t="s">
        <v>7249</v>
      </c>
      <c r="D353" s="8" t="s">
        <v>7249</v>
      </c>
      <c r="E353" s="560" t="s">
        <v>7249</v>
      </c>
    </row>
    <row r="354" spans="1:5" ht="55.2">
      <c r="A354" s="295" t="str">
        <f t="shared" si="5"/>
        <v>Please note: all questions refer only to clinical patient specimens, NOT to environmental or research specimens</v>
      </c>
      <c r="B354" s="20" t="s">
        <v>2072</v>
      </c>
      <c r="C354" s="20" t="s">
        <v>5287</v>
      </c>
      <c r="D354" s="289" t="s">
        <v>3850</v>
      </c>
      <c r="E354" s="553" t="s">
        <v>6823</v>
      </c>
    </row>
    <row r="355" spans="1:5" ht="27.6">
      <c r="A355" s="295" t="str">
        <f t="shared" si="5"/>
        <v>TEST MENU and WORKLOAD</v>
      </c>
      <c r="B355" s="20" t="s">
        <v>822</v>
      </c>
      <c r="C355" s="20" t="s">
        <v>4591</v>
      </c>
      <c r="D355" s="289" t="s">
        <v>3851</v>
      </c>
      <c r="E355" s="553" t="s">
        <v>6824</v>
      </c>
    </row>
    <row r="356" spans="1:5" ht="27.6">
      <c r="A356" s="295" t="str">
        <f t="shared" si="5"/>
        <v>Does the lab perform the following types of culture?</v>
      </c>
      <c r="B356" s="20" t="s">
        <v>1560</v>
      </c>
      <c r="C356" s="20" t="s">
        <v>2518</v>
      </c>
      <c r="D356" s="289" t="s">
        <v>2983</v>
      </c>
      <c r="E356" s="553" t="s">
        <v>5288</v>
      </c>
    </row>
    <row r="357" spans="1:5" ht="55.2">
      <c r="A357" s="295" t="str">
        <f t="shared" si="5"/>
        <v>In the # cultures last year column, please enter the total number of cultures performed last year, both positive and negative</v>
      </c>
      <c r="B357" s="20" t="s">
        <v>6870</v>
      </c>
      <c r="C357" s="20" t="s">
        <v>7210</v>
      </c>
      <c r="D357" s="289" t="s">
        <v>3852</v>
      </c>
      <c r="E357" s="553" t="s">
        <v>5289</v>
      </c>
    </row>
    <row r="358" spans="1:5">
      <c r="A358" s="295" t="str">
        <f t="shared" si="5"/>
        <v>Blood Cultures</v>
      </c>
      <c r="B358" s="20" t="s">
        <v>823</v>
      </c>
      <c r="C358" s="20" t="s">
        <v>5290</v>
      </c>
      <c r="D358" s="289" t="s">
        <v>2997</v>
      </c>
      <c r="E358" s="553" t="s">
        <v>4934</v>
      </c>
    </row>
    <row r="359" spans="1:5">
      <c r="A359" s="295" t="str">
        <f t="shared" si="5"/>
        <v>Urine Cultures</v>
      </c>
      <c r="B359" s="8" t="s">
        <v>824</v>
      </c>
      <c r="C359" s="8" t="s">
        <v>2418</v>
      </c>
      <c r="D359" s="290" t="s">
        <v>3656</v>
      </c>
      <c r="E359" s="553" t="s">
        <v>4935</v>
      </c>
    </row>
    <row r="360" spans="1:5" ht="27.6">
      <c r="A360" s="295" t="str">
        <f t="shared" si="5"/>
        <v>Stool Cultures (all bacterial enteric pathogens)</v>
      </c>
      <c r="B360" s="26" t="s">
        <v>1812</v>
      </c>
      <c r="C360" s="26" t="s">
        <v>5291</v>
      </c>
      <c r="D360" s="288" t="s">
        <v>3853</v>
      </c>
      <c r="E360" s="553" t="s">
        <v>5292</v>
      </c>
    </row>
    <row r="361" spans="1:5" ht="55.2">
      <c r="A361" s="295" t="str">
        <f t="shared" si="5"/>
        <v>Please indicate if the lab performs stool culture for the following enteric pathogens. Do not enter the number of cultures.</v>
      </c>
      <c r="B361" s="8" t="s">
        <v>1816</v>
      </c>
      <c r="C361" s="8" t="s">
        <v>5293</v>
      </c>
      <c r="D361" s="290" t="s">
        <v>3854</v>
      </c>
      <c r="E361" s="553" t="s">
        <v>5294</v>
      </c>
    </row>
    <row r="362" spans="1:5">
      <c r="A362" s="295" t="str">
        <f t="shared" si="5"/>
        <v>Salmonella and/or Shigella</v>
      </c>
      <c r="B362" s="41" t="s">
        <v>2407</v>
      </c>
      <c r="C362" s="41" t="s">
        <v>2533</v>
      </c>
      <c r="D362" s="291" t="s">
        <v>3855</v>
      </c>
      <c r="E362" s="553" t="s">
        <v>5295</v>
      </c>
    </row>
    <row r="363" spans="1:5">
      <c r="A363" s="295" t="str">
        <f t="shared" si="5"/>
        <v>Vibrio cholerae</v>
      </c>
      <c r="B363" s="8" t="s">
        <v>1813</v>
      </c>
      <c r="C363" s="8" t="s">
        <v>1813</v>
      </c>
      <c r="D363" s="290" t="s">
        <v>1813</v>
      </c>
      <c r="E363" s="553" t="s">
        <v>1813</v>
      </c>
    </row>
    <row r="364" spans="1:5">
      <c r="A364" s="295" t="str">
        <f t="shared" si="5"/>
        <v>Yersinia enterocolitica</v>
      </c>
      <c r="B364" s="41" t="s">
        <v>5296</v>
      </c>
      <c r="C364" s="41" t="s">
        <v>5296</v>
      </c>
      <c r="D364" s="291" t="s">
        <v>2984</v>
      </c>
      <c r="E364" s="553" t="s">
        <v>5296</v>
      </c>
    </row>
    <row r="365" spans="1:5">
      <c r="A365" s="295" t="str">
        <f t="shared" si="5"/>
        <v>Campylobacter jejuni</v>
      </c>
      <c r="B365" s="8" t="s">
        <v>1815</v>
      </c>
      <c r="C365" s="8" t="s">
        <v>1815</v>
      </c>
      <c r="D365" s="290" t="s">
        <v>1815</v>
      </c>
      <c r="E365" s="553" t="s">
        <v>1815</v>
      </c>
    </row>
    <row r="366" spans="1:5" ht="41.4">
      <c r="A366" s="295" t="str">
        <f t="shared" si="5"/>
        <v>Enterohemorrhagic/Enterotoxic E. coli (e.g., O157:H7)</v>
      </c>
      <c r="B366" s="20" t="s">
        <v>6871</v>
      </c>
      <c r="C366" s="20" t="s">
        <v>5297</v>
      </c>
      <c r="D366" s="289" t="s">
        <v>3856</v>
      </c>
      <c r="E366" s="553" t="s">
        <v>6872</v>
      </c>
    </row>
    <row r="367" spans="1:5">
      <c r="A367" s="295" t="str">
        <f t="shared" si="5"/>
        <v>Respiratory Cultures (not TB/AFB)</v>
      </c>
      <c r="B367" s="8" t="s">
        <v>1808</v>
      </c>
      <c r="C367" s="8" t="s">
        <v>2534</v>
      </c>
      <c r="D367" s="72" t="s">
        <v>2985</v>
      </c>
      <c r="E367" s="553" t="s">
        <v>5298</v>
      </c>
    </row>
    <row r="368" spans="1:5">
      <c r="A368" s="295" t="str">
        <f t="shared" si="5"/>
        <v>Wound Cultures</v>
      </c>
      <c r="B368" s="8" t="s">
        <v>827</v>
      </c>
      <c r="C368" s="8" t="s">
        <v>4937</v>
      </c>
      <c r="D368" s="72" t="s">
        <v>3658</v>
      </c>
      <c r="E368" s="553" t="s">
        <v>5299</v>
      </c>
    </row>
    <row r="369" spans="1:5">
      <c r="A369" s="295" t="str">
        <f t="shared" si="5"/>
        <v>Cerebrospinal Fluid Cultures</v>
      </c>
      <c r="B369" s="41" t="s">
        <v>835</v>
      </c>
      <c r="C369" s="41" t="s">
        <v>2419</v>
      </c>
      <c r="D369" s="292" t="s">
        <v>2901</v>
      </c>
      <c r="E369" s="553" t="s">
        <v>5300</v>
      </c>
    </row>
    <row r="370" spans="1:5" ht="41.4">
      <c r="A370" s="295" t="str">
        <f t="shared" si="5"/>
        <v>Sterile Body Fluid Cultures (pleural, pericardial, peritoneal, synovial)</v>
      </c>
      <c r="B370" s="8" t="s">
        <v>1789</v>
      </c>
      <c r="C370" s="8" t="s">
        <v>5301</v>
      </c>
      <c r="D370" s="72" t="s">
        <v>2986</v>
      </c>
      <c r="E370" s="553" t="s">
        <v>5302</v>
      </c>
    </row>
    <row r="371" spans="1:5">
      <c r="A371" s="295" t="str">
        <f t="shared" si="5"/>
        <v>Genital Cultures</v>
      </c>
      <c r="B371" s="8" t="s">
        <v>1559</v>
      </c>
      <c r="C371" s="8" t="s">
        <v>5303</v>
      </c>
      <c r="D371" s="72" t="s">
        <v>3659</v>
      </c>
      <c r="E371" s="553" t="s">
        <v>5304</v>
      </c>
    </row>
    <row r="372" spans="1:5">
      <c r="A372" s="295" t="str">
        <f t="shared" si="5"/>
        <v>Anaerobic Cultures</v>
      </c>
      <c r="B372" s="20" t="s">
        <v>829</v>
      </c>
      <c r="C372" s="20" t="s">
        <v>2420</v>
      </c>
      <c r="D372" s="129" t="s">
        <v>3857</v>
      </c>
      <c r="E372" s="553" t="s">
        <v>5305</v>
      </c>
    </row>
    <row r="373" spans="1:5">
      <c r="A373" s="295" t="str">
        <f t="shared" si="5"/>
        <v>Fungal Cultures (Yeast)</v>
      </c>
      <c r="B373" s="41" t="s">
        <v>831</v>
      </c>
      <c r="C373" s="41" t="s">
        <v>2421</v>
      </c>
      <c r="D373" s="291" t="s">
        <v>3661</v>
      </c>
      <c r="E373" s="553" t="s">
        <v>5306</v>
      </c>
    </row>
    <row r="374" spans="1:5">
      <c r="A374" s="295" t="str">
        <f t="shared" si="5"/>
        <v>Fungal Cultures (Mold)</v>
      </c>
      <c r="B374" s="41" t="s">
        <v>830</v>
      </c>
      <c r="C374" s="41" t="s">
        <v>2422</v>
      </c>
      <c r="D374" s="291" t="s">
        <v>3662</v>
      </c>
      <c r="E374" s="553" t="s">
        <v>6825</v>
      </c>
    </row>
    <row r="375" spans="1:5" ht="27.6">
      <c r="A375" s="295" t="str">
        <f t="shared" si="5"/>
        <v>MRSA screen for Infection Control purposes (e.g., nares, axilla, groin)</v>
      </c>
      <c r="B375" s="41" t="s">
        <v>1806</v>
      </c>
      <c r="C375" s="41" t="s">
        <v>5307</v>
      </c>
      <c r="D375" s="291" t="s">
        <v>4804</v>
      </c>
      <c r="E375" s="553" t="s">
        <v>5308</v>
      </c>
    </row>
    <row r="376" spans="1:5" ht="27.6">
      <c r="A376" s="295" t="str">
        <f t="shared" si="5"/>
        <v>VRE screen for Infection Control purposes (e.g., rectal swab)</v>
      </c>
      <c r="B376" s="8" t="s">
        <v>1807</v>
      </c>
      <c r="C376" s="8" t="s">
        <v>5309</v>
      </c>
      <c r="D376" s="290" t="s">
        <v>3858</v>
      </c>
      <c r="E376" s="553" t="s">
        <v>5310</v>
      </c>
    </row>
    <row r="377" spans="1:5" ht="41.4">
      <c r="A377" s="295" t="str">
        <f t="shared" si="5"/>
        <v>CRE screen (e.g., rectal swab)</v>
      </c>
      <c r="B377" s="20" t="s">
        <v>1562</v>
      </c>
      <c r="C377" s="20" t="s">
        <v>5311</v>
      </c>
      <c r="D377" s="289" t="s">
        <v>3859</v>
      </c>
      <c r="E377" s="553" t="s">
        <v>5312</v>
      </c>
    </row>
    <row r="378" spans="1:5" ht="27.6">
      <c r="A378" s="295" t="str">
        <f t="shared" si="5"/>
        <v>Identification and/or AST of isolates referred from other laboratories</v>
      </c>
      <c r="B378" s="20" t="s">
        <v>2409</v>
      </c>
      <c r="C378" s="20" t="s">
        <v>4592</v>
      </c>
      <c r="D378" s="289" t="s">
        <v>3860</v>
      </c>
      <c r="E378" s="553" t="s">
        <v>5313</v>
      </c>
    </row>
    <row r="379" spans="1:5" ht="41.4">
      <c r="A379" s="295" t="str">
        <f t="shared" si="5"/>
        <v>Other cultures of local importance (opportunity to customize via comments)</v>
      </c>
      <c r="B379" s="20" t="s">
        <v>1561</v>
      </c>
      <c r="C379" s="20" t="s">
        <v>2535</v>
      </c>
      <c r="D379" s="289" t="s">
        <v>3861</v>
      </c>
      <c r="E379" s="553" t="s">
        <v>5314</v>
      </c>
    </row>
    <row r="380" spans="1:5" ht="27.6">
      <c r="A380" s="295" t="str">
        <f t="shared" si="5"/>
        <v xml:space="preserve">AST/AMR METHODS AND WORKLOAD </v>
      </c>
      <c r="B380" s="20" t="s">
        <v>836</v>
      </c>
      <c r="C380" s="20" t="s">
        <v>4593</v>
      </c>
      <c r="D380" s="129" t="s">
        <v>3862</v>
      </c>
      <c r="E380" s="553" t="s">
        <v>5315</v>
      </c>
    </row>
    <row r="381" spans="1:5" ht="27.6">
      <c r="A381" s="295" t="str">
        <f t="shared" si="5"/>
        <v xml:space="preserve">Which manual AST methods are in use? </v>
      </c>
      <c r="B381" s="20" t="s">
        <v>837</v>
      </c>
      <c r="C381" s="20" t="s">
        <v>4594</v>
      </c>
      <c r="D381" s="289" t="s">
        <v>3863</v>
      </c>
      <c r="E381" s="553" t="s">
        <v>5316</v>
      </c>
    </row>
    <row r="382" spans="1:5" ht="69">
      <c r="A382" s="295" t="str">
        <f t="shared" si="5"/>
        <v>In the # organisms last year column, please enter the approximate number of organisms tested using each method, not the number of antibiotics tested</v>
      </c>
      <c r="B382" s="20" t="s">
        <v>6873</v>
      </c>
      <c r="C382" s="20" t="s">
        <v>7211</v>
      </c>
      <c r="D382" s="289" t="s">
        <v>3864</v>
      </c>
      <c r="E382" s="553" t="s">
        <v>5317</v>
      </c>
    </row>
    <row r="383" spans="1:5">
      <c r="A383" s="295" t="str">
        <f t="shared" si="5"/>
        <v>Disk diffusion</v>
      </c>
      <c r="B383" s="20" t="s">
        <v>65</v>
      </c>
      <c r="C383" s="20" t="s">
        <v>5318</v>
      </c>
      <c r="D383" s="289" t="s">
        <v>3670</v>
      </c>
      <c r="E383" s="553" t="s">
        <v>4953</v>
      </c>
    </row>
    <row r="384" spans="1:5" ht="27.6">
      <c r="A384" s="295" t="str">
        <f t="shared" si="5"/>
        <v>Gradient Strip (e.g., Etest/Liofilchem)</v>
      </c>
      <c r="B384" s="20" t="s">
        <v>168</v>
      </c>
      <c r="C384" s="20" t="s">
        <v>4529</v>
      </c>
      <c r="D384" s="289" t="s">
        <v>3865</v>
      </c>
      <c r="E384" s="553" t="s">
        <v>5319</v>
      </c>
    </row>
    <row r="385" spans="1:5" ht="27.6">
      <c r="A385" s="295" t="str">
        <f t="shared" si="5"/>
        <v>Broth microdilution (96-well tray)</v>
      </c>
      <c r="B385" s="20" t="s">
        <v>169</v>
      </c>
      <c r="C385" s="20" t="s">
        <v>4530</v>
      </c>
      <c r="D385" s="288" t="s">
        <v>3672</v>
      </c>
      <c r="E385" s="553" t="s">
        <v>5320</v>
      </c>
    </row>
    <row r="386" spans="1:5" ht="27.6">
      <c r="A386" s="295" t="str">
        <f t="shared" si="5"/>
        <v>Broth macrodilultion (tube method)</v>
      </c>
      <c r="B386" s="20" t="s">
        <v>170</v>
      </c>
      <c r="C386" s="20" t="s">
        <v>5321</v>
      </c>
      <c r="D386" s="288" t="s">
        <v>3673</v>
      </c>
      <c r="E386" s="553" t="s">
        <v>4956</v>
      </c>
    </row>
    <row r="387" spans="1:5">
      <c r="A387" s="295" t="str">
        <f t="shared" si="5"/>
        <v>Agar dilution</v>
      </c>
      <c r="B387" s="20" t="s">
        <v>39</v>
      </c>
      <c r="C387" s="20" t="s">
        <v>4532</v>
      </c>
      <c r="D387" s="288" t="s">
        <v>2903</v>
      </c>
      <c r="E387" s="553" t="s">
        <v>5322</v>
      </c>
    </row>
    <row r="388" spans="1:5" ht="27.6">
      <c r="A388" s="295" t="str">
        <f t="shared" si="5"/>
        <v xml:space="preserve">Which automated AST methods are in use? </v>
      </c>
      <c r="B388" s="20" t="s">
        <v>838</v>
      </c>
      <c r="C388" s="20" t="s">
        <v>4595</v>
      </c>
      <c r="D388" s="129" t="s">
        <v>3866</v>
      </c>
      <c r="E388" s="553" t="s">
        <v>6826</v>
      </c>
    </row>
    <row r="389" spans="1:5" ht="55.2">
      <c r="A389" s="295" t="str">
        <f t="shared" si="5"/>
        <v>In the # organisms last year column, please enter the approximate number of organisms tested using each method, not the number of antibiotics tested</v>
      </c>
      <c r="B389" s="20" t="s">
        <v>6873</v>
      </c>
      <c r="C389" s="20" t="s">
        <v>7212</v>
      </c>
      <c r="D389" s="289" t="s">
        <v>3864</v>
      </c>
      <c r="E389" s="553" t="s">
        <v>5323</v>
      </c>
    </row>
    <row r="390" spans="1:5">
      <c r="A390" s="295" t="str">
        <f t="shared" si="5"/>
        <v>Vitek</v>
      </c>
      <c r="B390" s="20" t="s">
        <v>176</v>
      </c>
      <c r="C390" s="20" t="s">
        <v>176</v>
      </c>
      <c r="D390" s="289" t="s">
        <v>176</v>
      </c>
      <c r="E390" s="553" t="s">
        <v>176</v>
      </c>
    </row>
    <row r="391" spans="1:5">
      <c r="A391" s="295" t="str">
        <f t="shared" si="5"/>
        <v>Phoenix</v>
      </c>
      <c r="B391" s="20" t="s">
        <v>177</v>
      </c>
      <c r="C391" s="20" t="s">
        <v>177</v>
      </c>
      <c r="D391" s="289" t="s">
        <v>177</v>
      </c>
      <c r="E391" s="553" t="s">
        <v>177</v>
      </c>
    </row>
    <row r="392" spans="1:5">
      <c r="A392" s="295" t="str">
        <f t="shared" si="5"/>
        <v>Microscan</v>
      </c>
      <c r="B392" s="20" t="s">
        <v>178</v>
      </c>
      <c r="C392" s="20" t="s">
        <v>178</v>
      </c>
      <c r="D392" s="289" t="s">
        <v>178</v>
      </c>
      <c r="E392" s="553" t="s">
        <v>178</v>
      </c>
    </row>
    <row r="393" spans="1:5" ht="27.6">
      <c r="A393" s="295" t="str">
        <f t="shared" si="5"/>
        <v>Other, please specify in comments.</v>
      </c>
      <c r="B393" s="20" t="s">
        <v>175</v>
      </c>
      <c r="C393" s="20" t="s">
        <v>2536</v>
      </c>
      <c r="D393" s="289" t="s">
        <v>2987</v>
      </c>
      <c r="E393" s="553" t="s">
        <v>5324</v>
      </c>
    </row>
    <row r="394" spans="1:5" ht="41.4">
      <c r="A394" s="295" t="str">
        <f t="shared" si="5"/>
        <v>Does the lab use chromagar to detect antibiotic resistant organisms?</v>
      </c>
      <c r="B394" s="20" t="s">
        <v>171</v>
      </c>
      <c r="C394" s="20" t="s">
        <v>5325</v>
      </c>
      <c r="D394" s="289" t="s">
        <v>3867</v>
      </c>
      <c r="E394" s="553" t="s">
        <v>5326</v>
      </c>
    </row>
    <row r="395" spans="1:5" ht="41.4">
      <c r="A395" s="295" t="str">
        <f t="shared" si="5"/>
        <v>In the # organisms last year column, please enter the approximate number of organisms tested using each method</v>
      </c>
      <c r="B395" s="20" t="s">
        <v>6874</v>
      </c>
      <c r="C395" s="20" t="s">
        <v>7213</v>
      </c>
      <c r="D395" s="289" t="s">
        <v>3868</v>
      </c>
      <c r="E395" s="553" t="s">
        <v>5327</v>
      </c>
    </row>
    <row r="396" spans="1:5">
      <c r="A396" s="295" t="str">
        <f t="shared" si="5"/>
        <v>ESBL producers</v>
      </c>
      <c r="B396" s="8" t="s">
        <v>840</v>
      </c>
      <c r="C396" s="8" t="s">
        <v>2537</v>
      </c>
      <c r="D396" s="290" t="s">
        <v>2988</v>
      </c>
      <c r="E396" s="553" t="s">
        <v>5328</v>
      </c>
    </row>
    <row r="397" spans="1:5">
      <c r="A397" s="295" t="str">
        <f t="shared" si="5"/>
        <v>CRE/Carbapenemases</v>
      </c>
      <c r="B397" s="20" t="s">
        <v>172</v>
      </c>
      <c r="C397" s="20" t="s">
        <v>4596</v>
      </c>
      <c r="D397" s="129" t="s">
        <v>3869</v>
      </c>
      <c r="E397" s="553" t="s">
        <v>5329</v>
      </c>
    </row>
    <row r="398" spans="1:5">
      <c r="A398" s="295" t="str">
        <f t="shared" si="5"/>
        <v>MRSA</v>
      </c>
      <c r="B398" s="20" t="s">
        <v>173</v>
      </c>
      <c r="C398" s="20" t="s">
        <v>2538</v>
      </c>
      <c r="D398" s="289" t="s">
        <v>2538</v>
      </c>
      <c r="E398" s="553" t="s">
        <v>173</v>
      </c>
    </row>
    <row r="399" spans="1:5">
      <c r="A399" s="295" t="str">
        <f t="shared" si="5"/>
        <v>VRE</v>
      </c>
      <c r="B399" s="20" t="s">
        <v>174</v>
      </c>
      <c r="C399" s="20" t="s">
        <v>2539</v>
      </c>
      <c r="D399" s="289" t="s">
        <v>2539</v>
      </c>
      <c r="E399" s="553" t="s">
        <v>174</v>
      </c>
    </row>
    <row r="400" spans="1:5">
      <c r="A400" s="295" t="str">
        <f t="shared" si="5"/>
        <v>Colistin resistance</v>
      </c>
      <c r="B400" s="20" t="s">
        <v>839</v>
      </c>
      <c r="C400" s="20" t="s">
        <v>2540</v>
      </c>
      <c r="D400" s="289" t="s">
        <v>2989</v>
      </c>
      <c r="E400" s="553" t="s">
        <v>5330</v>
      </c>
    </row>
    <row r="401" spans="1:5" ht="27.6">
      <c r="A401" s="295" t="str">
        <f t="shared" si="5"/>
        <v>Other, please specify in comments.</v>
      </c>
      <c r="B401" s="20" t="s">
        <v>175</v>
      </c>
      <c r="C401" s="20" t="s">
        <v>2536</v>
      </c>
      <c r="D401" s="289" t="s">
        <v>2987</v>
      </c>
      <c r="E401" s="553" t="s">
        <v>5324</v>
      </c>
    </row>
    <row r="402" spans="1:5" ht="41.4">
      <c r="A402" s="295" t="str">
        <f t="shared" si="5"/>
        <v>Does the lab use PCR to detect antibiotic resistance genes?</v>
      </c>
      <c r="B402" s="20" t="s">
        <v>2183</v>
      </c>
      <c r="C402" s="20" t="s">
        <v>2541</v>
      </c>
      <c r="D402" s="289" t="s">
        <v>2990</v>
      </c>
      <c r="E402" s="553" t="s">
        <v>5331</v>
      </c>
    </row>
    <row r="403" spans="1:5" ht="41.4">
      <c r="A403" s="295" t="str">
        <f t="shared" si="5"/>
        <v>In the #/year column, please enter the approximate number of organisms tested using each method</v>
      </c>
      <c r="B403" s="20" t="s">
        <v>2410</v>
      </c>
      <c r="C403" s="20" t="s">
        <v>7213</v>
      </c>
      <c r="D403" s="289" t="s">
        <v>3868</v>
      </c>
      <c r="E403" s="553" t="s">
        <v>5332</v>
      </c>
    </row>
    <row r="404" spans="1:5">
      <c r="A404" s="295" t="str">
        <f t="shared" si="5"/>
        <v>ESBLs</v>
      </c>
      <c r="B404" s="20" t="s">
        <v>2187</v>
      </c>
      <c r="C404" s="20" t="s">
        <v>5333</v>
      </c>
      <c r="D404" s="289" t="s">
        <v>2991</v>
      </c>
      <c r="E404" s="553" t="s">
        <v>2187</v>
      </c>
    </row>
    <row r="405" spans="1:5">
      <c r="A405" s="295" t="str">
        <f t="shared" si="5"/>
        <v>Carbapenemases</v>
      </c>
      <c r="B405" s="20" t="s">
        <v>2188</v>
      </c>
      <c r="C405" s="20" t="s">
        <v>2542</v>
      </c>
      <c r="D405" s="289" t="s">
        <v>2992</v>
      </c>
      <c r="E405" s="553" t="s">
        <v>2188</v>
      </c>
    </row>
    <row r="406" spans="1:5">
      <c r="A406" s="295" t="str">
        <f t="shared" si="5"/>
        <v xml:space="preserve">mecA </v>
      </c>
      <c r="B406" s="20" t="s">
        <v>2184</v>
      </c>
      <c r="C406" s="20" t="s">
        <v>2543</v>
      </c>
      <c r="D406" s="289" t="s">
        <v>2543</v>
      </c>
      <c r="E406" s="553" t="s">
        <v>2184</v>
      </c>
    </row>
    <row r="407" spans="1:5">
      <c r="A407" s="295" t="str">
        <f t="shared" si="5"/>
        <v>vanA/vanB</v>
      </c>
      <c r="B407" s="20" t="s">
        <v>2185</v>
      </c>
      <c r="C407" s="20" t="s">
        <v>2544</v>
      </c>
      <c r="D407" s="289" t="s">
        <v>2544</v>
      </c>
      <c r="E407" s="553" t="s">
        <v>5334</v>
      </c>
    </row>
    <row r="408" spans="1:5">
      <c r="A408" s="295" t="str">
        <f t="shared" si="5"/>
        <v>mcr-1</v>
      </c>
      <c r="B408" s="20" t="s">
        <v>2186</v>
      </c>
      <c r="C408" s="20" t="s">
        <v>2186</v>
      </c>
      <c r="D408" s="289" t="s">
        <v>2186</v>
      </c>
      <c r="E408" s="553" t="s">
        <v>2186</v>
      </c>
    </row>
    <row r="409" spans="1:5" ht="27.6">
      <c r="A409" s="295" t="str">
        <f t="shared" si="5"/>
        <v>Other, please specify in comments.</v>
      </c>
      <c r="B409" s="20" t="s">
        <v>175</v>
      </c>
      <c r="C409" s="20" t="s">
        <v>2536</v>
      </c>
      <c r="D409" s="289" t="s">
        <v>2987</v>
      </c>
      <c r="E409" s="553" t="s">
        <v>5324</v>
      </c>
    </row>
    <row r="410" spans="1:5" ht="27.6">
      <c r="A410" s="295" t="str">
        <f t="shared" si="5"/>
        <v>LABORATORY STAFF EDUCATION/TRAINING</v>
      </c>
      <c r="B410" s="20" t="s">
        <v>766</v>
      </c>
      <c r="C410" s="20" t="s">
        <v>4597</v>
      </c>
      <c r="D410" s="289" t="s">
        <v>3870</v>
      </c>
      <c r="E410" s="553" t="s">
        <v>5335</v>
      </c>
    </row>
    <row r="411" spans="1:5" ht="69">
      <c r="A411" s="295" t="str">
        <f t="shared" si="5"/>
        <v xml:space="preserve">Among laboratory leadership and the technical staff in bacteriology, indicate the number that fall into each training level category. </v>
      </c>
      <c r="B411" s="8" t="s">
        <v>807</v>
      </c>
      <c r="C411" s="8" t="s">
        <v>2545</v>
      </c>
      <c r="D411" s="290" t="s">
        <v>3871</v>
      </c>
      <c r="E411" s="553" t="s">
        <v>5336</v>
      </c>
    </row>
    <row r="412" spans="1:5" ht="41.4">
      <c r="A412" s="295" t="str">
        <f t="shared" si="5"/>
        <v>Advanced degree in Medical Microbiology or Medical Laboratory Sciences (PhD, MD, equivalent)</v>
      </c>
      <c r="B412" s="8" t="s">
        <v>1563</v>
      </c>
      <c r="C412" s="26" t="s">
        <v>4533</v>
      </c>
      <c r="D412" s="170" t="s">
        <v>3872</v>
      </c>
      <c r="E412" s="553" t="s">
        <v>5337</v>
      </c>
    </row>
    <row r="413" spans="1:5" ht="27.6">
      <c r="A413" s="295" t="str">
        <f t="shared" si="5"/>
        <v>Advanced degree, other concentration (PhD, MD, equivalent)</v>
      </c>
      <c r="B413" s="26" t="s">
        <v>1564</v>
      </c>
      <c r="C413" s="26" t="s">
        <v>4534</v>
      </c>
      <c r="D413" s="288" t="s">
        <v>3873</v>
      </c>
      <c r="E413" s="553" t="s">
        <v>5338</v>
      </c>
    </row>
    <row r="414" spans="1:5" ht="41.4">
      <c r="A414" s="295" t="str">
        <f t="shared" si="5"/>
        <v>Postgraduate Master's degree in Microbiology or Medical Laboratory Sciences</v>
      </c>
      <c r="B414" s="94" t="s">
        <v>759</v>
      </c>
      <c r="C414" s="26" t="s">
        <v>4535</v>
      </c>
      <c r="D414" s="170" t="s">
        <v>3676</v>
      </c>
      <c r="E414" s="553" t="s">
        <v>4963</v>
      </c>
    </row>
    <row r="415" spans="1:5" ht="27.6">
      <c r="A415" s="295" t="str">
        <f t="shared" si="5"/>
        <v>Postgraduate Master's degree, other concentration</v>
      </c>
      <c r="B415" s="26" t="s">
        <v>761</v>
      </c>
      <c r="C415" s="26" t="s">
        <v>4536</v>
      </c>
      <c r="D415" s="170" t="s">
        <v>3677</v>
      </c>
      <c r="E415" s="553" t="s">
        <v>4964</v>
      </c>
    </row>
    <row r="416" spans="1:5" ht="41.4">
      <c r="A416" s="295" t="str">
        <f t="shared" si="5"/>
        <v>Graduate Bachelor's degree in Microbiology or Medical Laboratory Sciences</v>
      </c>
      <c r="B416" s="94" t="s">
        <v>762</v>
      </c>
      <c r="C416" s="26" t="s">
        <v>4537</v>
      </c>
      <c r="D416" s="170" t="s">
        <v>3678</v>
      </c>
      <c r="E416" s="553" t="s">
        <v>4965</v>
      </c>
    </row>
    <row r="417" spans="1:5" ht="27.6">
      <c r="A417" s="295" t="str">
        <f t="shared" ref="A417:A480" si="6">IF(langue=1,B417,IF(langue=2,C417,IF(langue=3,D417,IF(langue=4,E417,F417))))</f>
        <v>Graduate Bachelor's degree, other concentration</v>
      </c>
      <c r="B417" s="26" t="s">
        <v>763</v>
      </c>
      <c r="C417" s="26" t="s">
        <v>4538</v>
      </c>
      <c r="D417" s="170" t="s">
        <v>3679</v>
      </c>
      <c r="E417" s="553" t="s">
        <v>4966</v>
      </c>
    </row>
    <row r="418" spans="1:5" ht="41.4">
      <c r="A418" s="295" t="str">
        <f t="shared" si="6"/>
        <v>Undergraduate Certificate or Diploma in Microbiology or Medical Laboratory Sciences</v>
      </c>
      <c r="B418" s="94" t="s">
        <v>764</v>
      </c>
      <c r="C418" s="26" t="s">
        <v>4539</v>
      </c>
      <c r="D418" s="170" t="s">
        <v>3680</v>
      </c>
      <c r="E418" s="553" t="s">
        <v>4968</v>
      </c>
    </row>
    <row r="419" spans="1:5" ht="27.6">
      <c r="A419" s="295" t="str">
        <f t="shared" si="6"/>
        <v>Undergraduate Certificate or Diploma, other concentration</v>
      </c>
      <c r="B419" s="26" t="s">
        <v>765</v>
      </c>
      <c r="C419" s="26" t="s">
        <v>4540</v>
      </c>
      <c r="D419" s="170" t="s">
        <v>3681</v>
      </c>
      <c r="E419" s="553" t="s">
        <v>4969</v>
      </c>
    </row>
    <row r="420" spans="1:5" ht="27.6">
      <c r="A420" s="295" t="str">
        <f t="shared" si="6"/>
        <v>High school/Secondary school diploma</v>
      </c>
      <c r="B420" s="26" t="s">
        <v>809</v>
      </c>
      <c r="C420" s="26" t="s">
        <v>2424</v>
      </c>
      <c r="D420" s="170" t="s">
        <v>3682</v>
      </c>
      <c r="E420" s="553" t="s">
        <v>4970</v>
      </c>
    </row>
    <row r="421" spans="1:5" ht="27.6">
      <c r="A421" s="295" t="str">
        <f t="shared" si="6"/>
        <v>On-the-job training only</v>
      </c>
      <c r="B421" s="26" t="s">
        <v>808</v>
      </c>
      <c r="C421" s="26" t="s">
        <v>5339</v>
      </c>
      <c r="D421" s="170" t="s">
        <v>3683</v>
      </c>
      <c r="E421" s="553" t="s">
        <v>4972</v>
      </c>
    </row>
    <row r="422" spans="1:5">
      <c r="A422" s="295" t="str">
        <f t="shared" si="6"/>
        <v>Other (specify in comments)</v>
      </c>
      <c r="B422" s="26" t="s">
        <v>758</v>
      </c>
      <c r="C422" s="26" t="s">
        <v>2425</v>
      </c>
      <c r="D422" s="288" t="s">
        <v>2905</v>
      </c>
      <c r="E422" s="553" t="s">
        <v>4973</v>
      </c>
    </row>
    <row r="423" spans="1:5" ht="41.4">
      <c r="A423" s="295" t="str">
        <f t="shared" si="6"/>
        <v>Number of staff with Microbiology or Medical Lab Science Training</v>
      </c>
      <c r="B423" s="94" t="s">
        <v>1566</v>
      </c>
      <c r="C423" s="94" t="s">
        <v>4598</v>
      </c>
      <c r="D423" s="170" t="s">
        <v>3874</v>
      </c>
      <c r="E423" s="553" t="s">
        <v>5340</v>
      </c>
    </row>
    <row r="424" spans="1:5" ht="27.6">
      <c r="A424" s="295" t="str">
        <f t="shared" si="6"/>
        <v>Number of staff with other training</v>
      </c>
      <c r="B424" s="94" t="s">
        <v>1567</v>
      </c>
      <c r="C424" s="94" t="s">
        <v>2546</v>
      </c>
      <c r="D424" s="170" t="s">
        <v>3875</v>
      </c>
      <c r="E424" s="553" t="s">
        <v>5341</v>
      </c>
    </row>
    <row r="425" spans="1:5" ht="41.4">
      <c r="A425" s="295" t="str">
        <f t="shared" si="6"/>
        <v>Proportion of staff with Microbiology or Medical Lab Science Training</v>
      </c>
      <c r="B425" s="94" t="s">
        <v>1568</v>
      </c>
      <c r="C425" s="94" t="s">
        <v>4599</v>
      </c>
      <c r="D425" s="293" t="s">
        <v>3876</v>
      </c>
      <c r="E425" s="553" t="s">
        <v>5342</v>
      </c>
    </row>
    <row r="426" spans="1:5" ht="27.6">
      <c r="A426" s="295" t="str">
        <f t="shared" si="6"/>
        <v>Number of staff with a Graduate Bachelor's Degree or higher</v>
      </c>
      <c r="B426" s="26" t="s">
        <v>1569</v>
      </c>
      <c r="C426" s="26" t="s">
        <v>4600</v>
      </c>
      <c r="D426" s="170" t="s">
        <v>3877</v>
      </c>
      <c r="E426" s="553" t="s">
        <v>5343</v>
      </c>
    </row>
    <row r="427" spans="1:5" ht="27.6">
      <c r="A427" s="295" t="str">
        <f t="shared" si="6"/>
        <v>Number of staff with less than a Graduate Bachelor's Degree</v>
      </c>
      <c r="B427" s="26" t="s">
        <v>1570</v>
      </c>
      <c r="C427" s="26" t="s">
        <v>4601</v>
      </c>
      <c r="D427" s="170" t="s">
        <v>3878</v>
      </c>
      <c r="E427" s="553" t="s">
        <v>5344</v>
      </c>
    </row>
    <row r="428" spans="1:5" ht="27.6">
      <c r="A428" s="295" t="str">
        <f t="shared" si="6"/>
        <v>Proportion of staff with a Graduate Bachelor's Degree or higher</v>
      </c>
      <c r="B428" s="94" t="s">
        <v>1571</v>
      </c>
      <c r="C428" s="94" t="s">
        <v>4602</v>
      </c>
      <c r="D428" s="294" t="s">
        <v>3879</v>
      </c>
      <c r="E428" s="553" t="s">
        <v>5345</v>
      </c>
    </row>
    <row r="429" spans="1:5" ht="27.6">
      <c r="A429" s="295" t="str">
        <f t="shared" si="6"/>
        <v>QMS MENTORING PROGRAMS</v>
      </c>
      <c r="B429" s="26" t="s">
        <v>713</v>
      </c>
      <c r="C429" s="26" t="s">
        <v>5346</v>
      </c>
      <c r="D429" s="170" t="s">
        <v>3880</v>
      </c>
      <c r="E429" s="553" t="s">
        <v>5347</v>
      </c>
    </row>
    <row r="430" spans="1:5" ht="55.2">
      <c r="A430" s="295" t="str">
        <f t="shared" si="6"/>
        <v>Has the laboratory ever been enrolled in the SLIPTA program?</v>
      </c>
      <c r="B430" s="26" t="s">
        <v>712</v>
      </c>
      <c r="C430" s="26" t="s">
        <v>2547</v>
      </c>
      <c r="D430" s="170" t="s">
        <v>3881</v>
      </c>
      <c r="E430" s="553" t="s">
        <v>5348</v>
      </c>
    </row>
    <row r="431" spans="1:5" ht="27.6">
      <c r="A431" s="295" t="str">
        <f t="shared" si="6"/>
        <v>If yes, when was the most recent certification awarded?</v>
      </c>
      <c r="B431" s="8" t="s">
        <v>644</v>
      </c>
      <c r="C431" s="8" t="s">
        <v>2548</v>
      </c>
      <c r="D431" s="290" t="s">
        <v>2993</v>
      </c>
      <c r="E431" s="553" t="s">
        <v>5349</v>
      </c>
    </row>
    <row r="432" spans="1:5" ht="27.6">
      <c r="A432" s="295" t="str">
        <f t="shared" si="6"/>
        <v>1: Within the past 2 years - 2: More than 2 years ago - 3: NA</v>
      </c>
      <c r="B432" s="26" t="s">
        <v>343</v>
      </c>
      <c r="C432" s="26" t="s">
        <v>2549</v>
      </c>
      <c r="D432" s="288" t="s">
        <v>2994</v>
      </c>
      <c r="E432" s="553" t="s">
        <v>5350</v>
      </c>
    </row>
    <row r="433" spans="1:5" ht="41.4">
      <c r="A433" s="295" t="str">
        <f t="shared" si="6"/>
        <v>If yes, what is the star level of the latest SLIPTA audit?  Check the certificate.</v>
      </c>
      <c r="B433" s="94" t="s">
        <v>1585</v>
      </c>
      <c r="C433" s="94" t="s">
        <v>2550</v>
      </c>
      <c r="D433" s="293" t="s">
        <v>3882</v>
      </c>
      <c r="E433" s="553" t="s">
        <v>5351</v>
      </c>
    </row>
    <row r="434" spans="1:5" ht="41.4">
      <c r="A434" s="295" t="str">
        <f t="shared" si="6"/>
        <v>(0: 0 stars; 1: 1 stars; 2: 2 stars, 3: 3 stars; 4: 4 stars; 5: 5 stars, NA)</v>
      </c>
      <c r="B434" s="26" t="s">
        <v>1586</v>
      </c>
      <c r="C434" s="26" t="s">
        <v>2551</v>
      </c>
      <c r="D434" s="288" t="s">
        <v>3883</v>
      </c>
      <c r="E434" s="553" t="s">
        <v>5352</v>
      </c>
    </row>
    <row r="435" spans="1:5" ht="41.4">
      <c r="A435" s="295" t="str">
        <f t="shared" si="6"/>
        <v>Has the laboratory ever been enrolled in the WHO LQSI program? What year?</v>
      </c>
      <c r="B435" s="26" t="s">
        <v>1895</v>
      </c>
      <c r="C435" s="26" t="s">
        <v>2552</v>
      </c>
      <c r="D435" s="288" t="s">
        <v>3884</v>
      </c>
      <c r="E435" s="553" t="s">
        <v>5353</v>
      </c>
    </row>
    <row r="436" spans="1:5" ht="41.4">
      <c r="A436" s="295" t="str">
        <f t="shared" si="6"/>
        <v>If yes, what was the last overall % score for the 4 phases? What year?</v>
      </c>
      <c r="B436" s="94" t="s">
        <v>1896</v>
      </c>
      <c r="C436" s="94" t="s">
        <v>2553</v>
      </c>
      <c r="D436" s="293" t="s">
        <v>3885</v>
      </c>
      <c r="E436" s="553" t="s">
        <v>5354</v>
      </c>
    </row>
    <row r="437" spans="1:5" ht="27.6">
      <c r="A437" s="295" t="str">
        <f t="shared" si="6"/>
        <v>1: &gt;90%; 2: 70%-89%, 3: 50-69%, 4: &lt;50%, NA</v>
      </c>
      <c r="B437" s="94" t="s">
        <v>2411</v>
      </c>
      <c r="C437" s="94" t="s">
        <v>2519</v>
      </c>
      <c r="D437" s="293" t="s">
        <v>2995</v>
      </c>
      <c r="E437" s="553" t="s">
        <v>5355</v>
      </c>
    </row>
    <row r="438" spans="1:5" ht="69">
      <c r="A438" s="295" t="str">
        <f t="shared" si="6"/>
        <v>Has the laboratory ever been enrolled in any other mentoring program for Laboratory Quality Management (National, Regional, International)? When?</v>
      </c>
      <c r="B438" s="94" t="s">
        <v>1897</v>
      </c>
      <c r="C438" s="94" t="s">
        <v>2520</v>
      </c>
      <c r="D438" s="294" t="s">
        <v>3886</v>
      </c>
      <c r="E438" s="553" t="s">
        <v>5356</v>
      </c>
    </row>
    <row r="439" spans="1:5">
      <c r="A439" s="295" t="str">
        <f t="shared" si="6"/>
        <v>ACCREDITATION and CERTIFICATION</v>
      </c>
      <c r="B439" s="20" t="s">
        <v>322</v>
      </c>
      <c r="C439" s="20" t="s">
        <v>2521</v>
      </c>
      <c r="D439" s="289" t="s">
        <v>2996</v>
      </c>
      <c r="E439" s="553" t="s">
        <v>5357</v>
      </c>
    </row>
    <row r="440" spans="1:5" ht="69">
      <c r="A440" s="295" t="str">
        <f t="shared" si="6"/>
        <v>Does the lab possess a valid (current) ISO 15189 accreditation certificate for any of the following tests? (Confirm by reviewing certificate)</v>
      </c>
      <c r="B440" s="26" t="s">
        <v>290</v>
      </c>
      <c r="C440" s="26" t="s">
        <v>5358</v>
      </c>
      <c r="D440" s="288" t="s">
        <v>3887</v>
      </c>
      <c r="E440" s="553" t="s">
        <v>5359</v>
      </c>
    </row>
    <row r="441" spans="1:5">
      <c r="A441" s="295" t="str">
        <f t="shared" si="6"/>
        <v>Blood cultures</v>
      </c>
      <c r="B441" s="20" t="s">
        <v>2</v>
      </c>
      <c r="C441" s="20" t="s">
        <v>4603</v>
      </c>
      <c r="D441" s="289" t="s">
        <v>2997</v>
      </c>
      <c r="E441" s="553" t="s">
        <v>4934</v>
      </c>
    </row>
    <row r="442" spans="1:5">
      <c r="A442" s="295" t="str">
        <f t="shared" si="6"/>
        <v>Stool cultures</v>
      </c>
      <c r="B442" s="20" t="s">
        <v>3</v>
      </c>
      <c r="C442" s="20" t="s">
        <v>5360</v>
      </c>
      <c r="D442" s="289" t="s">
        <v>3657</v>
      </c>
      <c r="E442" s="553" t="s">
        <v>4936</v>
      </c>
    </row>
    <row r="443" spans="1:5">
      <c r="A443" s="295" t="str">
        <f t="shared" si="6"/>
        <v>Urine cultures</v>
      </c>
      <c r="B443" s="94" t="s">
        <v>4</v>
      </c>
      <c r="C443" s="94" t="s">
        <v>2418</v>
      </c>
      <c r="D443" s="293" t="s">
        <v>3656</v>
      </c>
      <c r="E443" s="553" t="s">
        <v>4935</v>
      </c>
    </row>
    <row r="444" spans="1:5">
      <c r="A444" s="295" t="str">
        <f t="shared" si="6"/>
        <v>Organism Identification</v>
      </c>
      <c r="B444" s="26" t="s">
        <v>289</v>
      </c>
      <c r="C444" s="26" t="s">
        <v>2522</v>
      </c>
      <c r="D444" s="288" t="s">
        <v>3888</v>
      </c>
      <c r="E444" s="553" t="s">
        <v>5361</v>
      </c>
    </row>
    <row r="445" spans="1:5">
      <c r="A445" s="295" t="str">
        <f t="shared" si="6"/>
        <v>Antibiotic Susceptibility Testing</v>
      </c>
      <c r="B445" s="20" t="s">
        <v>275</v>
      </c>
      <c r="C445" s="20" t="s">
        <v>2523</v>
      </c>
      <c r="D445" s="289" t="s">
        <v>2998</v>
      </c>
      <c r="E445" s="553" t="s">
        <v>5362</v>
      </c>
    </row>
    <row r="446" spans="1:5" ht="27.6">
      <c r="A446" s="295" t="str">
        <f t="shared" si="6"/>
        <v>Any other microbiology applied technique such as Gram staining?</v>
      </c>
      <c r="B446" s="20" t="s">
        <v>907</v>
      </c>
      <c r="C446" s="20" t="s">
        <v>5363</v>
      </c>
      <c r="D446" s="289" t="s">
        <v>2999</v>
      </c>
      <c r="E446" s="553" t="s">
        <v>5364</v>
      </c>
    </row>
    <row r="447" spans="1:5" ht="69">
      <c r="A447" s="295" t="str">
        <f t="shared" si="6"/>
        <v xml:space="preserve">Who awarded the most recent accreditation? (Review accreditation certificate and write name of accrediting body in comments) </v>
      </c>
      <c r="B447" s="8" t="s">
        <v>2073</v>
      </c>
      <c r="C447" s="8" t="s">
        <v>2524</v>
      </c>
      <c r="D447" s="290" t="s">
        <v>3000</v>
      </c>
      <c r="E447" s="553" t="s">
        <v>6827</v>
      </c>
    </row>
    <row r="448" spans="1:5" ht="82.8">
      <c r="A448" s="295" t="str">
        <f t="shared" si="6"/>
        <v>1: ILAC Full Member; 2: ILAC Associate Member; 3: ILAC Affiliate Member;  4: ILAC Stakeholder; 5: ILAC Regional Cooperation Body; 6: Other/Don't know; 7: National Accrediting Board; NA</v>
      </c>
      <c r="B448" s="26" t="s">
        <v>1898</v>
      </c>
      <c r="C448" s="26" t="s">
        <v>2525</v>
      </c>
      <c r="D448" s="288" t="s">
        <v>3889</v>
      </c>
      <c r="E448" s="553" t="s">
        <v>5365</v>
      </c>
    </row>
    <row r="449" spans="1:5" ht="27.6">
      <c r="A449" s="295" t="str">
        <f t="shared" si="6"/>
        <v>(ILAC = International Laboratory Accreditation Cooperation)</v>
      </c>
      <c r="B449" s="8" t="s">
        <v>1912</v>
      </c>
      <c r="C449" s="8" t="s">
        <v>2526</v>
      </c>
      <c r="D449" s="290" t="s">
        <v>3001</v>
      </c>
      <c r="E449" s="553" t="s">
        <v>5366</v>
      </c>
    </row>
    <row r="450" spans="1:5">
      <c r="A450" s="295" t="str">
        <f t="shared" si="6"/>
        <v>First Name</v>
      </c>
      <c r="B450" s="8" t="s">
        <v>1809</v>
      </c>
      <c r="C450" s="8" t="s">
        <v>2527</v>
      </c>
      <c r="D450" s="290" t="s">
        <v>3890</v>
      </c>
      <c r="E450" s="553" t="s">
        <v>5367</v>
      </c>
    </row>
    <row r="451" spans="1:5">
      <c r="A451" s="295" t="str">
        <f t="shared" si="6"/>
        <v>Last name</v>
      </c>
      <c r="B451" s="8" t="s">
        <v>1810</v>
      </c>
      <c r="C451" s="8" t="s">
        <v>2528</v>
      </c>
      <c r="D451" s="290" t="s">
        <v>3002</v>
      </c>
      <c r="E451" s="553" t="s">
        <v>5368</v>
      </c>
    </row>
    <row r="452" spans="1:5">
      <c r="A452" s="295" t="str">
        <f t="shared" si="6"/>
        <v>Email address</v>
      </c>
      <c r="B452" s="8" t="s">
        <v>267</v>
      </c>
      <c r="C452" s="8" t="s">
        <v>2529</v>
      </c>
      <c r="D452" s="290" t="s">
        <v>3003</v>
      </c>
      <c r="E452" s="553" t="s">
        <v>5369</v>
      </c>
    </row>
    <row r="453" spans="1:5">
      <c r="A453" s="295" t="str">
        <f t="shared" si="6"/>
        <v>Comments</v>
      </c>
      <c r="B453" s="8" t="s">
        <v>22</v>
      </c>
      <c r="C453" s="8" t="s">
        <v>2530</v>
      </c>
      <c r="D453" s="290" t="s">
        <v>3004</v>
      </c>
      <c r="E453" s="553" t="s">
        <v>5370</v>
      </c>
    </row>
    <row r="454" spans="1:5">
      <c r="A454" s="295" t="str">
        <f t="shared" si="6"/>
        <v>Y/N</v>
      </c>
      <c r="B454" s="8" t="s">
        <v>821</v>
      </c>
      <c r="C454" s="8" t="s">
        <v>821</v>
      </c>
      <c r="D454" s="8" t="s">
        <v>821</v>
      </c>
      <c r="E454" s="560" t="s">
        <v>821</v>
      </c>
    </row>
    <row r="455" spans="1:5">
      <c r="A455" s="295" t="str">
        <f t="shared" si="6"/>
        <v xml:space="preserve"># cultures last year </v>
      </c>
      <c r="B455" s="8" t="s">
        <v>903</v>
      </c>
      <c r="C455" s="8" t="s">
        <v>4604</v>
      </c>
      <c r="D455" s="290" t="s">
        <v>3891</v>
      </c>
      <c r="E455" s="553" t="s">
        <v>5371</v>
      </c>
    </row>
    <row r="456" spans="1:5">
      <c r="A456" s="295" t="str">
        <f t="shared" si="6"/>
        <v xml:space="preserve"># organisms last year </v>
      </c>
      <c r="B456" s="8" t="s">
        <v>904</v>
      </c>
      <c r="C456" s="8" t="s">
        <v>4605</v>
      </c>
      <c r="D456" s="290" t="s">
        <v>3892</v>
      </c>
      <c r="E456" s="553" t="s">
        <v>5372</v>
      </c>
    </row>
    <row r="457" spans="1:5">
      <c r="A457" s="295" t="str">
        <f t="shared" si="6"/>
        <v># staff</v>
      </c>
      <c r="B457" s="8" t="s">
        <v>842</v>
      </c>
      <c r="C457" s="8" t="s">
        <v>4606</v>
      </c>
      <c r="D457" s="290" t="s">
        <v>3893</v>
      </c>
      <c r="E457" s="553" t="s">
        <v>5373</v>
      </c>
    </row>
    <row r="458" spans="1:5" ht="27.6">
      <c r="A458" s="295" t="str">
        <f t="shared" si="6"/>
        <v>This section will autopopulate, do not enter data</v>
      </c>
      <c r="B458" s="8" t="s">
        <v>1572</v>
      </c>
      <c r="C458" s="8" t="s">
        <v>2531</v>
      </c>
      <c r="D458" s="290" t="s">
        <v>3005</v>
      </c>
      <c r="E458" s="553" t="s">
        <v>5374</v>
      </c>
    </row>
    <row r="459" spans="1:5">
      <c r="A459" s="295" t="str">
        <f t="shared" si="6"/>
        <v>Year</v>
      </c>
      <c r="B459" s="8" t="s">
        <v>1588</v>
      </c>
      <c r="C459" s="8" t="s">
        <v>2532</v>
      </c>
      <c r="D459" s="290" t="s">
        <v>3006</v>
      </c>
      <c r="E459" s="553" t="s">
        <v>5375</v>
      </c>
    </row>
    <row r="460" spans="1:5">
      <c r="A460" s="295" t="str">
        <f t="shared" si="6"/>
        <v>Year awarded</v>
      </c>
      <c r="B460" s="8" t="s">
        <v>1587</v>
      </c>
      <c r="C460" s="8" t="s">
        <v>2554</v>
      </c>
      <c r="D460" s="290" t="s">
        <v>3894</v>
      </c>
      <c r="E460" s="553" t="s">
        <v>5376</v>
      </c>
    </row>
    <row r="461" spans="1:5">
      <c r="A461" s="295" t="str">
        <f t="shared" si="6"/>
        <v>1- FACILITY</v>
      </c>
      <c r="B461" s="8" t="s">
        <v>320</v>
      </c>
      <c r="C461" s="8" t="s">
        <v>5377</v>
      </c>
      <c r="D461" s="290" t="s">
        <v>3895</v>
      </c>
      <c r="E461" s="553" t="s">
        <v>4998</v>
      </c>
    </row>
    <row r="462" spans="1:5" ht="82.8">
      <c r="A462" s="295" t="str">
        <f t="shared" si="6"/>
        <v>Please note: all questions refer to equipment that is used for clinical patient specimens, NOT equipment that is used only for research specimens</v>
      </c>
      <c r="B462" s="8" t="s">
        <v>2087</v>
      </c>
      <c r="C462" s="8" t="s">
        <v>5378</v>
      </c>
      <c r="D462" s="290" t="s">
        <v>3896</v>
      </c>
      <c r="E462" s="553" t="s">
        <v>5379</v>
      </c>
    </row>
    <row r="463" spans="1:5">
      <c r="A463" s="295" t="str">
        <f t="shared" si="6"/>
        <v>LABORATORY FACILITY</v>
      </c>
      <c r="B463" s="8" t="s">
        <v>15</v>
      </c>
      <c r="C463" s="8" t="s">
        <v>4547</v>
      </c>
      <c r="D463" s="290" t="s">
        <v>3699</v>
      </c>
      <c r="E463" s="553" t="s">
        <v>4999</v>
      </c>
    </row>
    <row r="464" spans="1:5" ht="27.6">
      <c r="A464" s="295" t="str">
        <f t="shared" si="6"/>
        <v>Observe the laboratory work benches, are they:</v>
      </c>
      <c r="B464" s="8" t="s">
        <v>16</v>
      </c>
      <c r="C464" s="8" t="s">
        <v>4607</v>
      </c>
      <c r="D464" s="72" t="s">
        <v>3897</v>
      </c>
      <c r="E464" s="553" t="s">
        <v>5380</v>
      </c>
    </row>
    <row r="465" spans="1:6" ht="27.6">
      <c r="A465" s="295" t="str">
        <f t="shared" si="6"/>
        <v>Separate from patient care areas</v>
      </c>
      <c r="B465" s="8" t="s">
        <v>17</v>
      </c>
      <c r="C465" s="8" t="s">
        <v>4608</v>
      </c>
      <c r="D465" s="290" t="s">
        <v>3898</v>
      </c>
      <c r="E465" s="553" t="s">
        <v>5381</v>
      </c>
    </row>
    <row r="466" spans="1:6" ht="27.6">
      <c r="A466" s="295" t="str">
        <f t="shared" si="6"/>
        <v>Organized with minimal clutter?</v>
      </c>
      <c r="B466" s="26" t="s">
        <v>18</v>
      </c>
      <c r="C466" s="26" t="s">
        <v>4609</v>
      </c>
      <c r="D466" s="288" t="s">
        <v>3899</v>
      </c>
      <c r="E466" s="553" t="s">
        <v>5382</v>
      </c>
    </row>
    <row r="467" spans="1:6">
      <c r="A467" s="295" t="str">
        <f t="shared" si="6"/>
        <v>Adequately ventilated?</v>
      </c>
      <c r="B467" s="26" t="s">
        <v>19</v>
      </c>
      <c r="C467" s="26" t="s">
        <v>4610</v>
      </c>
      <c r="D467" s="288" t="s">
        <v>3900</v>
      </c>
      <c r="E467" s="553" t="s">
        <v>5383</v>
      </c>
    </row>
    <row r="468" spans="1:6">
      <c r="A468" s="295" t="str">
        <f t="shared" si="6"/>
        <v>Free of excess moisture?</v>
      </c>
      <c r="B468" s="26" t="s">
        <v>20</v>
      </c>
      <c r="C468" s="26" t="s">
        <v>2564</v>
      </c>
      <c r="D468" s="288" t="s">
        <v>3901</v>
      </c>
      <c r="E468" s="553" t="s">
        <v>5384</v>
      </c>
    </row>
    <row r="469" spans="1:6">
      <c r="A469" s="295" t="str">
        <f t="shared" si="6"/>
        <v>Adequately lit?</v>
      </c>
      <c r="B469" s="26" t="s">
        <v>21</v>
      </c>
      <c r="C469" s="26" t="s">
        <v>4611</v>
      </c>
      <c r="D469" s="288" t="s">
        <v>3902</v>
      </c>
      <c r="E469" s="553" t="s">
        <v>5385</v>
      </c>
    </row>
    <row r="470" spans="1:6" ht="41.4">
      <c r="A470" s="295" t="str">
        <f t="shared" si="6"/>
        <v>Does the laboratory have a functional heating/air conditioning system?</v>
      </c>
      <c r="B470" s="26" t="s">
        <v>23</v>
      </c>
      <c r="C470" s="26" t="s">
        <v>2565</v>
      </c>
      <c r="D470" s="288" t="s">
        <v>3007</v>
      </c>
      <c r="E470" s="553" t="s">
        <v>5386</v>
      </c>
    </row>
    <row r="471" spans="1:6" ht="27.6">
      <c r="A471" s="295" t="str">
        <f t="shared" si="6"/>
        <v>Is the temperature in the laboratory maintained between 20°-25°C?</v>
      </c>
      <c r="B471" s="26" t="s">
        <v>24</v>
      </c>
      <c r="C471" s="26" t="s">
        <v>2566</v>
      </c>
      <c r="D471" s="288" t="s">
        <v>3903</v>
      </c>
      <c r="E471" s="553" t="s">
        <v>5387</v>
      </c>
    </row>
    <row r="472" spans="1:6" ht="82.8">
      <c r="A472" s="295" t="str">
        <f t="shared" si="6"/>
        <v>Are all critical equipment (instruments, refrigerators, freezers, incubators, computers, automated instruments) supported by a functioning generator?</v>
      </c>
      <c r="B472" s="26" t="s">
        <v>6875</v>
      </c>
      <c r="C472" s="26" t="s">
        <v>5388</v>
      </c>
      <c r="D472" s="288" t="s">
        <v>3904</v>
      </c>
      <c r="E472" s="553" t="s">
        <v>5389</v>
      </c>
    </row>
    <row r="473" spans="1:6" ht="82.8">
      <c r="A473" s="295" t="str">
        <f t="shared" si="6"/>
        <v>Are all critical pieces of equipment attached to uninterrupted power source (UPS) devices? (These provide temporary power until the generator can be activated)</v>
      </c>
      <c r="B473" s="26" t="s">
        <v>1608</v>
      </c>
      <c r="C473" s="26" t="s">
        <v>4612</v>
      </c>
      <c r="D473" s="288" t="s">
        <v>3905</v>
      </c>
      <c r="E473" s="553" t="s">
        <v>5390</v>
      </c>
    </row>
    <row r="474" spans="1:6" ht="69">
      <c r="A474" s="295" t="str">
        <f t="shared" si="6"/>
        <v>In the last 6 months, has prolonged power failure disrupted the ability to provide routine bacteriology services?</v>
      </c>
      <c r="B474" s="26" t="s">
        <v>84</v>
      </c>
      <c r="C474" s="26" t="s">
        <v>2567</v>
      </c>
      <c r="D474" s="288" t="s">
        <v>3906</v>
      </c>
      <c r="E474" s="553" t="s">
        <v>5391</v>
      </c>
    </row>
    <row r="475" spans="1:6" ht="69">
      <c r="A475" s="295" t="str">
        <f t="shared" si="6"/>
        <v>Is there a contingency plan in place for continued testing in the event of prolonged electricity disruption (e.g., power outage lasting several days)?</v>
      </c>
      <c r="B475" s="26" t="s">
        <v>6876</v>
      </c>
      <c r="C475" s="26" t="s">
        <v>2568</v>
      </c>
      <c r="D475" s="288" t="s">
        <v>3907</v>
      </c>
      <c r="E475" s="553" t="s">
        <v>5392</v>
      </c>
    </row>
    <row r="476" spans="1:6" ht="303.60000000000002">
      <c r="A476" s="295" t="str">
        <f t="shared" si="6"/>
        <v>Standard: ISO 15189: 5.2.5 &amp; 5.2.10 The laboratory space should be sufficient to ensure that the quality of work, the safety of personnel, and the ability of staff to carry out quality control procedures and documentation. The laboratory should be clean and well organized, free of clutter, well-ventilated, adequately lit, and within acceptable temperature ranges. Emergency power should be available for sensitive instruments, temperature controlled storage, and other essential equipment to prevent damage and disruption due to unexpected power fluctuations and outages. Sensitive instruments should be equipped with surge controls. Distilled and de-ionized water should be available, if required.</v>
      </c>
      <c r="B476" s="26" t="s">
        <v>641</v>
      </c>
      <c r="C476" s="362" t="s">
        <v>2569</v>
      </c>
      <c r="D476" s="170" t="s">
        <v>3908</v>
      </c>
      <c r="E476" s="553" t="s">
        <v>6828</v>
      </c>
    </row>
    <row r="477" spans="1:6" ht="27.6">
      <c r="A477" s="295" t="str">
        <f t="shared" si="6"/>
        <v>Describe the internet service in the laboratory</v>
      </c>
      <c r="B477" s="26" t="s">
        <v>97</v>
      </c>
      <c r="C477" s="26" t="s">
        <v>2570</v>
      </c>
      <c r="D477" s="288" t="s">
        <v>3008</v>
      </c>
      <c r="E477" s="553" t="s">
        <v>5393</v>
      </c>
    </row>
    <row r="478" spans="1:6" ht="55.2">
      <c r="A478" s="295" t="str">
        <f t="shared" si="6"/>
        <v>1: Continuous (service interruptions are rare) - 2: Sporadic (service interruptions are common) - 3: No internet available</v>
      </c>
      <c r="B478" s="26" t="s">
        <v>98</v>
      </c>
      <c r="C478" s="26" t="s">
        <v>2571</v>
      </c>
      <c r="D478" s="288" t="s">
        <v>3009</v>
      </c>
      <c r="E478" s="553" t="s">
        <v>5394</v>
      </c>
    </row>
    <row r="479" spans="1:6" ht="27.6">
      <c r="A479" s="295" t="str">
        <f t="shared" si="6"/>
        <v>GENERAL EQUIPMENT AVAILABILITY</v>
      </c>
      <c r="B479" s="26" t="s">
        <v>643</v>
      </c>
      <c r="C479" s="26" t="s">
        <v>4613</v>
      </c>
      <c r="D479" s="288" t="s">
        <v>3909</v>
      </c>
      <c r="E479" s="553" t="s">
        <v>5395</v>
      </c>
    </row>
    <row r="480" spans="1:6" s="393" customFormat="1" ht="151.80000000000001">
      <c r="A480" s="295" t="str">
        <f t="shared" si="6"/>
        <v>Indicate whether the lab has the following FUNCTIONAL pieces of equipment. In column D (#), indicate how many pieces of FUNCTIONAL equipment are present. If the lab only has non-functional equipment, select "No" and write "non-functional" in the comments. Also indicate in the comments if the quantity of equipment is sufficient for the laboratory's volume of testing.</v>
      </c>
      <c r="B480" s="314" t="s">
        <v>2556</v>
      </c>
      <c r="C480" s="391" t="s">
        <v>5396</v>
      </c>
      <c r="D480" s="392" t="s">
        <v>7175</v>
      </c>
      <c r="E480" s="553" t="s">
        <v>7174</v>
      </c>
      <c r="F480" s="573"/>
    </row>
    <row r="481" spans="1:5" ht="41.4">
      <c r="A481" s="295" t="str">
        <f t="shared" ref="A481:A544" si="7">IF(langue=1,B481,IF(langue=2,C481,IF(langue=3,D481,IF(langue=4,E481,F481))))</f>
        <v>McFarland QC standards of known densities, including 0.5, not expired</v>
      </c>
      <c r="B481" s="26" t="s">
        <v>2139</v>
      </c>
      <c r="C481" s="361" t="s">
        <v>5189</v>
      </c>
      <c r="D481" s="72" t="s">
        <v>3792</v>
      </c>
      <c r="E481" s="553" t="s">
        <v>5397</v>
      </c>
    </row>
    <row r="482" spans="1:5" ht="27.6">
      <c r="A482" s="295" t="str">
        <f t="shared" si="7"/>
        <v>Ruler or caliper with millimeter markings</v>
      </c>
      <c r="B482" s="26" t="s">
        <v>2140</v>
      </c>
      <c r="C482" s="26" t="s">
        <v>2483</v>
      </c>
      <c r="D482" s="72" t="s">
        <v>3793</v>
      </c>
      <c r="E482" s="553" t="s">
        <v>5191</v>
      </c>
    </row>
    <row r="483" spans="1:5">
      <c r="A483" s="295" t="str">
        <f t="shared" si="7"/>
        <v>Bunsen burners or micro-incinerators</v>
      </c>
      <c r="B483" s="26" t="s">
        <v>2141</v>
      </c>
      <c r="C483" s="26" t="s">
        <v>2484</v>
      </c>
      <c r="D483" s="288" t="s">
        <v>3794</v>
      </c>
      <c r="E483" s="553" t="s">
        <v>5192</v>
      </c>
    </row>
    <row r="484" spans="1:5" ht="27.6">
      <c r="A484" s="295" t="str">
        <f t="shared" si="7"/>
        <v>Calibrated 1µL or 10µL loops (for plating urine cultures)</v>
      </c>
      <c r="B484" s="26" t="s">
        <v>7176</v>
      </c>
      <c r="C484" s="26" t="s">
        <v>7177</v>
      </c>
      <c r="D484" s="288" t="s">
        <v>7178</v>
      </c>
      <c r="E484" s="553" t="s">
        <v>7179</v>
      </c>
    </row>
    <row r="485" spans="1:5" ht="41.4">
      <c r="A485" s="295" t="str">
        <f t="shared" si="7"/>
        <v>Optical densitometer/turbidimeter (for determining McFarland density)</v>
      </c>
      <c r="B485" s="26" t="s">
        <v>2143</v>
      </c>
      <c r="C485" s="26" t="s">
        <v>2485</v>
      </c>
      <c r="D485" s="72" t="s">
        <v>3796</v>
      </c>
      <c r="E485" s="553" t="s">
        <v>5398</v>
      </c>
    </row>
    <row r="486" spans="1:5">
      <c r="A486" s="295" t="str">
        <f t="shared" si="7"/>
        <v>Microliter pipettes (e.g., Eppendorf)</v>
      </c>
      <c r="B486" s="26" t="s">
        <v>2144</v>
      </c>
      <c r="C486" s="26" t="s">
        <v>4574</v>
      </c>
      <c r="D486" s="288" t="s">
        <v>3797</v>
      </c>
      <c r="E486" s="553" t="s">
        <v>5399</v>
      </c>
    </row>
    <row r="487" spans="1:5" ht="27.6">
      <c r="A487" s="295" t="str">
        <f t="shared" si="7"/>
        <v>Centrifuge (not used for TB cultures)</v>
      </c>
      <c r="B487" s="26" t="s">
        <v>2145</v>
      </c>
      <c r="C487" s="26" t="s">
        <v>5400</v>
      </c>
      <c r="D487" s="288" t="s">
        <v>3798</v>
      </c>
      <c r="E487" s="553" t="s">
        <v>5197</v>
      </c>
    </row>
    <row r="488" spans="1:5">
      <c r="A488" s="295" t="str">
        <f t="shared" si="7"/>
        <v>Microscope</v>
      </c>
      <c r="B488" s="26" t="s">
        <v>2146</v>
      </c>
      <c r="C488" s="26" t="s">
        <v>5401</v>
      </c>
      <c r="D488" s="288" t="s">
        <v>2960</v>
      </c>
      <c r="E488" s="553" t="s">
        <v>5198</v>
      </c>
    </row>
    <row r="489" spans="1:5">
      <c r="A489" s="295" t="str">
        <f t="shared" si="7"/>
        <v>Thermometers</v>
      </c>
      <c r="B489" s="26" t="s">
        <v>2147</v>
      </c>
      <c r="C489" s="26" t="s">
        <v>2486</v>
      </c>
      <c r="D489" s="288" t="s">
        <v>2961</v>
      </c>
      <c r="E489" s="553" t="s">
        <v>5199</v>
      </c>
    </row>
    <row r="490" spans="1:5">
      <c r="A490" s="295" t="str">
        <f t="shared" si="7"/>
        <v>CO2 incubators</v>
      </c>
      <c r="B490" s="26" t="s">
        <v>2400</v>
      </c>
      <c r="C490" s="26" t="s">
        <v>2487</v>
      </c>
      <c r="D490" s="288" t="s">
        <v>3799</v>
      </c>
      <c r="E490" s="553" t="s">
        <v>3799</v>
      </c>
    </row>
    <row r="491" spans="1:5">
      <c r="A491" s="295" t="str">
        <f t="shared" si="7"/>
        <v>Candle jars</v>
      </c>
      <c r="B491" s="26" t="s">
        <v>2148</v>
      </c>
      <c r="C491" s="26" t="s">
        <v>5402</v>
      </c>
      <c r="D491" s="170" t="s">
        <v>2962</v>
      </c>
      <c r="E491" s="553" t="s">
        <v>5202</v>
      </c>
    </row>
    <row r="492" spans="1:5" ht="27.6">
      <c r="A492" s="295" t="str">
        <f t="shared" si="7"/>
        <v>Ambient (non-CO2) incubator</v>
      </c>
      <c r="B492" s="26" t="s">
        <v>2167</v>
      </c>
      <c r="C492" s="26" t="s">
        <v>5403</v>
      </c>
      <c r="D492" s="170" t="s">
        <v>3800</v>
      </c>
      <c r="E492" s="553" t="s">
        <v>5204</v>
      </c>
    </row>
    <row r="493" spans="1:5">
      <c r="A493" s="295" t="str">
        <f t="shared" si="7"/>
        <v>Refrigerator (2-8°C)</v>
      </c>
      <c r="B493" s="26" t="s">
        <v>2149</v>
      </c>
      <c r="C493" s="26" t="s">
        <v>2488</v>
      </c>
      <c r="D493" s="288" t="s">
        <v>3910</v>
      </c>
      <c r="E493" s="553" t="s">
        <v>5205</v>
      </c>
    </row>
    <row r="494" spans="1:5">
      <c r="A494" s="295" t="str">
        <f t="shared" si="7"/>
        <v xml:space="preserve">Non-defrosting freezer, -20°C </v>
      </c>
      <c r="B494" s="26" t="s">
        <v>2150</v>
      </c>
      <c r="C494" s="26" t="s">
        <v>2489</v>
      </c>
      <c r="D494" s="170" t="s">
        <v>3802</v>
      </c>
      <c r="E494" s="553" t="s">
        <v>5404</v>
      </c>
    </row>
    <row r="495" spans="1:5">
      <c r="A495" s="295" t="str">
        <f t="shared" si="7"/>
        <v>Non-defrosting freezer, -60°C</v>
      </c>
      <c r="B495" s="26" t="s">
        <v>2157</v>
      </c>
      <c r="C495" s="26" t="s">
        <v>2490</v>
      </c>
      <c r="D495" s="170" t="s">
        <v>3803</v>
      </c>
      <c r="E495" s="553" t="s">
        <v>5405</v>
      </c>
    </row>
    <row r="496" spans="1:5">
      <c r="A496" s="295" t="str">
        <f t="shared" si="7"/>
        <v xml:space="preserve">Non-defrosting freezer, -80°C </v>
      </c>
      <c r="B496" s="26" t="s">
        <v>2151</v>
      </c>
      <c r="C496" s="26" t="s">
        <v>2491</v>
      </c>
      <c r="D496" s="170" t="s">
        <v>3804</v>
      </c>
      <c r="E496" s="553" t="s">
        <v>5406</v>
      </c>
    </row>
    <row r="497" spans="1:5" ht="41.4">
      <c r="A497" s="295" t="str">
        <f t="shared" si="7"/>
        <v>Rechargeable desiccants (for storage of open antibiotic disks and strips)</v>
      </c>
      <c r="B497" s="26" t="s">
        <v>2152</v>
      </c>
      <c r="C497" s="26" t="s">
        <v>2492</v>
      </c>
      <c r="D497" s="290" t="s">
        <v>3805</v>
      </c>
      <c r="E497" s="553" t="s">
        <v>5407</v>
      </c>
    </row>
    <row r="498" spans="1:5" ht="27.6">
      <c r="A498" s="295" t="str">
        <f t="shared" si="7"/>
        <v>Hot air oven (for drying saturated desiccants)</v>
      </c>
      <c r="B498" s="26" t="s">
        <v>2153</v>
      </c>
      <c r="C498" s="26" t="s">
        <v>2493</v>
      </c>
      <c r="D498" s="72" t="s">
        <v>3806</v>
      </c>
      <c r="E498" s="553" t="s">
        <v>5408</v>
      </c>
    </row>
    <row r="499" spans="1:5" ht="27.6">
      <c r="A499" s="295" t="str">
        <f t="shared" si="7"/>
        <v>Biological Safety Cabinet Class IIA</v>
      </c>
      <c r="B499" s="26" t="s">
        <v>2154</v>
      </c>
      <c r="C499" s="26" t="s">
        <v>5211</v>
      </c>
      <c r="D499" s="290" t="s">
        <v>3807</v>
      </c>
      <c r="E499" s="553" t="s">
        <v>5212</v>
      </c>
    </row>
    <row r="500" spans="1:5" ht="27.6">
      <c r="A500" s="295" t="str">
        <f t="shared" si="7"/>
        <v>Autoclave for media preparation ("clean" autoclave)</v>
      </c>
      <c r="B500" s="26" t="s">
        <v>2155</v>
      </c>
      <c r="C500" s="26" t="s">
        <v>4614</v>
      </c>
      <c r="D500" s="290" t="s">
        <v>2963</v>
      </c>
      <c r="E500" s="553" t="s">
        <v>5213</v>
      </c>
    </row>
    <row r="501" spans="1:5" ht="27.6">
      <c r="A501" s="295" t="str">
        <f t="shared" si="7"/>
        <v>Autoclave for sterlizing waste ("dirty" autoclave)</v>
      </c>
      <c r="B501" s="26" t="s">
        <v>2156</v>
      </c>
      <c r="C501" s="26" t="s">
        <v>2494</v>
      </c>
      <c r="D501" s="290" t="s">
        <v>2964</v>
      </c>
      <c r="E501" s="553" t="s">
        <v>5214</v>
      </c>
    </row>
    <row r="502" spans="1:5" ht="27.6">
      <c r="A502" s="295" t="str">
        <f t="shared" si="7"/>
        <v>MEDIA PREPARATION EQUIPMENT AVAILABILITY</v>
      </c>
      <c r="B502" s="26" t="s">
        <v>669</v>
      </c>
      <c r="C502" s="26" t="s">
        <v>4548</v>
      </c>
      <c r="D502" s="288" t="s">
        <v>3701</v>
      </c>
      <c r="E502" s="553" t="s">
        <v>5409</v>
      </c>
    </row>
    <row r="503" spans="1:5" ht="55.2">
      <c r="A503" s="295" t="str">
        <f t="shared" si="7"/>
        <v>Does the lab prepare any media or distilled water? (e.g., blood agar, Mueller Hinton agar, blood culture bottles)</v>
      </c>
      <c r="B503" s="26" t="s">
        <v>2074</v>
      </c>
      <c r="C503" s="26" t="s">
        <v>4615</v>
      </c>
      <c r="D503" s="288" t="s">
        <v>3911</v>
      </c>
      <c r="E503" s="553" t="s">
        <v>5410</v>
      </c>
    </row>
    <row r="504" spans="1:5" ht="27.6">
      <c r="A504" s="295" t="str">
        <f t="shared" si="7"/>
        <v>If No, answer NA until next section</v>
      </c>
      <c r="B504" s="26" t="s">
        <v>672</v>
      </c>
      <c r="C504" s="26" t="s">
        <v>2572</v>
      </c>
      <c r="D504" s="288" t="s">
        <v>3010</v>
      </c>
      <c r="E504" s="553" t="s">
        <v>5411</v>
      </c>
    </row>
    <row r="505" spans="1:5" ht="96.6">
      <c r="A505" s="295" t="str">
        <f t="shared" si="7"/>
        <v>Indicate whether the lab is currently using the following FUNCTIONAL pieces of equipment. If the lab has only non-functional equipment, select "No" and note "non-functional" in the comments.</v>
      </c>
      <c r="B505" s="26" t="s">
        <v>7198</v>
      </c>
      <c r="C505" s="362" t="s">
        <v>7199</v>
      </c>
      <c r="D505" s="288" t="s">
        <v>7200</v>
      </c>
      <c r="E505" s="553" t="s">
        <v>7201</v>
      </c>
    </row>
    <row r="506" spans="1:5">
      <c r="A506" s="295" t="str">
        <f t="shared" si="7"/>
        <v>pH meter</v>
      </c>
      <c r="B506" s="26" t="s">
        <v>2158</v>
      </c>
      <c r="C506" s="26" t="s">
        <v>2495</v>
      </c>
      <c r="D506" s="290" t="s">
        <v>3809</v>
      </c>
      <c r="E506" s="553" t="s">
        <v>5412</v>
      </c>
    </row>
    <row r="507" spans="1:5">
      <c r="A507" s="295" t="str">
        <f t="shared" si="7"/>
        <v>Weighing balance</v>
      </c>
      <c r="B507" s="26" t="s">
        <v>2159</v>
      </c>
      <c r="C507" s="26" t="s">
        <v>2496</v>
      </c>
      <c r="D507" s="289" t="s">
        <v>3810</v>
      </c>
      <c r="E507" s="553" t="s">
        <v>5217</v>
      </c>
    </row>
    <row r="508" spans="1:5">
      <c r="A508" s="295" t="str">
        <f t="shared" si="7"/>
        <v>Conductivity meter</v>
      </c>
      <c r="B508" s="26" t="s">
        <v>2160</v>
      </c>
      <c r="C508" s="26" t="s">
        <v>5218</v>
      </c>
      <c r="D508" s="289" t="s">
        <v>2965</v>
      </c>
      <c r="E508" s="553" t="s">
        <v>5219</v>
      </c>
    </row>
    <row r="509" spans="1:5" ht="27.6">
      <c r="A509" s="295" t="str">
        <f t="shared" si="7"/>
        <v>Distiller/reverse osmosis equipment</v>
      </c>
      <c r="B509" s="26" t="s">
        <v>7155</v>
      </c>
      <c r="C509" s="26" t="s">
        <v>2497</v>
      </c>
      <c r="D509" s="289" t="s">
        <v>3811</v>
      </c>
      <c r="E509" s="553" t="s">
        <v>5413</v>
      </c>
    </row>
    <row r="510" spans="1:5" ht="41.4">
      <c r="A510" s="295" t="str">
        <f t="shared" si="7"/>
        <v>Hot plate with magnetic stir bar (for mixing powdered media)</v>
      </c>
      <c r="B510" s="26" t="s">
        <v>2162</v>
      </c>
      <c r="C510" s="26" t="s">
        <v>4577</v>
      </c>
      <c r="D510" s="289" t="s">
        <v>3812</v>
      </c>
      <c r="E510" s="553" t="s">
        <v>5414</v>
      </c>
    </row>
    <row r="511" spans="1:5">
      <c r="A511" s="295" t="str">
        <f t="shared" si="7"/>
        <v>Water bath</v>
      </c>
      <c r="B511" s="26" t="s">
        <v>2163</v>
      </c>
      <c r="C511" s="26" t="s">
        <v>4578</v>
      </c>
      <c r="D511" s="288" t="s">
        <v>2966</v>
      </c>
      <c r="E511" s="553" t="s">
        <v>5415</v>
      </c>
    </row>
    <row r="512" spans="1:5" ht="27.6">
      <c r="A512" s="295" t="str">
        <f t="shared" si="7"/>
        <v>EQUIPMENT CALIBRATION  RECORDS</v>
      </c>
      <c r="B512" s="26" t="s">
        <v>673</v>
      </c>
      <c r="C512" s="26" t="s">
        <v>5003</v>
      </c>
      <c r="D512" s="288" t="s">
        <v>3912</v>
      </c>
      <c r="E512" s="553" t="s">
        <v>5004</v>
      </c>
    </row>
    <row r="513" spans="1:6" s="393" customFormat="1" ht="69">
      <c r="A513" s="295" t="str">
        <f t="shared" si="7"/>
        <v>Review the calibration records for each piece of equipment. Has calibration been performed within the last year?   (Select NA only if the lab does not have the equipment.)</v>
      </c>
      <c r="B513" s="314" t="s">
        <v>7143</v>
      </c>
      <c r="C513" s="314" t="s">
        <v>5416</v>
      </c>
      <c r="D513" s="392" t="s">
        <v>3913</v>
      </c>
      <c r="E513" s="553" t="s">
        <v>5417</v>
      </c>
      <c r="F513" s="573"/>
    </row>
    <row r="514" spans="1:6" ht="27.6">
      <c r="A514" s="295" t="str">
        <f t="shared" si="7"/>
        <v>Optical Densitometer (for determining McFarland density)</v>
      </c>
      <c r="B514" s="26" t="s">
        <v>2164</v>
      </c>
      <c r="C514" s="26" t="s">
        <v>2573</v>
      </c>
      <c r="D514" s="170" t="s">
        <v>3914</v>
      </c>
      <c r="E514" s="553" t="s">
        <v>5418</v>
      </c>
    </row>
    <row r="515" spans="1:6">
      <c r="A515" s="295" t="str">
        <f t="shared" si="7"/>
        <v>Microliter pipettes (e.g., Eppendorf)</v>
      </c>
      <c r="B515" s="26" t="s">
        <v>2144</v>
      </c>
      <c r="C515" s="26" t="s">
        <v>5419</v>
      </c>
      <c r="D515" s="288" t="s">
        <v>3797</v>
      </c>
      <c r="E515" s="553" t="s">
        <v>5420</v>
      </c>
    </row>
    <row r="516" spans="1:6">
      <c r="A516" s="295" t="str">
        <f t="shared" si="7"/>
        <v>Centrifuge</v>
      </c>
      <c r="B516" s="26" t="s">
        <v>2165</v>
      </c>
      <c r="C516" s="26" t="s">
        <v>5421</v>
      </c>
      <c r="D516" s="288" t="s">
        <v>3915</v>
      </c>
      <c r="E516" s="553" t="s">
        <v>3915</v>
      </c>
    </row>
    <row r="517" spans="1:6">
      <c r="A517" s="295" t="str">
        <f t="shared" si="7"/>
        <v>Thermometers</v>
      </c>
      <c r="B517" s="26" t="s">
        <v>2147</v>
      </c>
      <c r="C517" s="26" t="s">
        <v>2486</v>
      </c>
      <c r="D517" s="288" t="s">
        <v>2961</v>
      </c>
      <c r="E517" s="553" t="s">
        <v>5199</v>
      </c>
    </row>
    <row r="518" spans="1:6">
      <c r="A518" s="295" t="str">
        <f t="shared" si="7"/>
        <v>pH meter</v>
      </c>
      <c r="B518" s="26" t="s">
        <v>2158</v>
      </c>
      <c r="C518" s="26" t="s">
        <v>2495</v>
      </c>
      <c r="D518" s="288" t="s">
        <v>3809</v>
      </c>
      <c r="E518" s="553" t="s">
        <v>5412</v>
      </c>
    </row>
    <row r="519" spans="1:6">
      <c r="A519" s="295" t="str">
        <f t="shared" si="7"/>
        <v>Conductivity meter</v>
      </c>
      <c r="B519" s="26" t="s">
        <v>2160</v>
      </c>
      <c r="C519" s="26" t="s">
        <v>5218</v>
      </c>
      <c r="D519" s="288" t="s">
        <v>2965</v>
      </c>
      <c r="E519" s="553" t="s">
        <v>5219</v>
      </c>
    </row>
    <row r="520" spans="1:6">
      <c r="A520" s="295" t="str">
        <f t="shared" si="7"/>
        <v>CO2 incubator</v>
      </c>
      <c r="B520" s="26" t="s">
        <v>2166</v>
      </c>
      <c r="C520" s="26" t="s">
        <v>5200</v>
      </c>
      <c r="D520" s="288" t="s">
        <v>3916</v>
      </c>
      <c r="E520" s="553" t="s">
        <v>3916</v>
      </c>
    </row>
    <row r="521" spans="1:6" ht="27.6">
      <c r="A521" s="295" t="str">
        <f t="shared" si="7"/>
        <v>Ambient (non-CO2) incubator</v>
      </c>
      <c r="B521" s="26" t="s">
        <v>2167</v>
      </c>
      <c r="C521" s="26" t="s">
        <v>5403</v>
      </c>
      <c r="D521" s="170" t="s">
        <v>3800</v>
      </c>
      <c r="E521" s="553" t="s">
        <v>5204</v>
      </c>
    </row>
    <row r="522" spans="1:6" ht="27.6">
      <c r="A522" s="295" t="str">
        <f t="shared" si="7"/>
        <v>Hot air oven for recharging desiccants</v>
      </c>
      <c r="B522" s="26" t="s">
        <v>2168</v>
      </c>
      <c r="C522" s="26" t="s">
        <v>5422</v>
      </c>
      <c r="D522" s="170" t="s">
        <v>3917</v>
      </c>
      <c r="E522" s="553" t="s">
        <v>5408</v>
      </c>
    </row>
    <row r="523" spans="1:6" ht="27.6">
      <c r="A523" s="295" t="str">
        <f t="shared" si="7"/>
        <v>Biological Safety Cabinet Class IIA</v>
      </c>
      <c r="B523" s="26" t="s">
        <v>2154</v>
      </c>
      <c r="C523" s="26" t="s">
        <v>5211</v>
      </c>
      <c r="D523" s="290" t="s">
        <v>3807</v>
      </c>
      <c r="E523" s="553" t="s">
        <v>5212</v>
      </c>
    </row>
    <row r="524" spans="1:6">
      <c r="A524" s="295" t="str">
        <f t="shared" si="7"/>
        <v>Weighing balance</v>
      </c>
      <c r="B524" s="26" t="s">
        <v>2159</v>
      </c>
      <c r="C524" s="26" t="s">
        <v>2496</v>
      </c>
      <c r="D524" s="288" t="s">
        <v>3810</v>
      </c>
      <c r="E524" s="553" t="s">
        <v>5217</v>
      </c>
    </row>
    <row r="525" spans="1:6">
      <c r="A525" s="295" t="str">
        <f t="shared" si="7"/>
        <v>Water bath</v>
      </c>
      <c r="B525" s="26" t="s">
        <v>2163</v>
      </c>
      <c r="C525" s="26" t="s">
        <v>4891</v>
      </c>
      <c r="D525" s="288" t="s">
        <v>2966</v>
      </c>
      <c r="E525" s="553" t="s">
        <v>5423</v>
      </c>
    </row>
    <row r="526" spans="1:6">
      <c r="A526" s="295" t="str">
        <f t="shared" si="7"/>
        <v>THERMOMETERS</v>
      </c>
      <c r="B526" s="26" t="s">
        <v>670</v>
      </c>
      <c r="C526" s="26" t="s">
        <v>2432</v>
      </c>
      <c r="D526" s="288" t="s">
        <v>3703</v>
      </c>
      <c r="E526" s="553" t="s">
        <v>5005</v>
      </c>
    </row>
    <row r="527" spans="1:6" ht="69">
      <c r="A527" s="295" t="str">
        <f t="shared" si="7"/>
        <v>Indicate if manual (non-digital) thermometers are present inside each piece of equipment. (Select NA if the lab does not have the equipment.)</v>
      </c>
      <c r="B527" s="26" t="s">
        <v>7144</v>
      </c>
      <c r="C527" s="26" t="s">
        <v>4616</v>
      </c>
      <c r="D527" s="288" t="s">
        <v>3918</v>
      </c>
      <c r="E527" s="553" t="s">
        <v>5424</v>
      </c>
    </row>
    <row r="528" spans="1:6">
      <c r="A528" s="295" t="str">
        <f t="shared" si="7"/>
        <v>CO2 incubator</v>
      </c>
      <c r="B528" s="26" t="s">
        <v>2166</v>
      </c>
      <c r="C528" s="26" t="s">
        <v>5425</v>
      </c>
      <c r="D528" s="288" t="s">
        <v>3916</v>
      </c>
      <c r="E528" s="553" t="s">
        <v>3916</v>
      </c>
    </row>
    <row r="529" spans="1:5" ht="27.6">
      <c r="A529" s="295" t="str">
        <f t="shared" si="7"/>
        <v>Ambient (non-CO2) incubator</v>
      </c>
      <c r="B529" s="26" t="s">
        <v>2167</v>
      </c>
      <c r="C529" s="26" t="s">
        <v>5426</v>
      </c>
      <c r="D529" s="170" t="s">
        <v>3800</v>
      </c>
      <c r="E529" s="553" t="s">
        <v>5204</v>
      </c>
    </row>
    <row r="530" spans="1:5">
      <c r="A530" s="295" t="str">
        <f t="shared" si="7"/>
        <v>Refrigerator (2-8°C)</v>
      </c>
      <c r="B530" s="26" t="s">
        <v>2149</v>
      </c>
      <c r="C530" s="26" t="s">
        <v>2488</v>
      </c>
      <c r="D530" s="288" t="s">
        <v>3910</v>
      </c>
      <c r="E530" s="553" t="s">
        <v>5205</v>
      </c>
    </row>
    <row r="531" spans="1:5">
      <c r="A531" s="295" t="str">
        <f t="shared" si="7"/>
        <v xml:space="preserve">Non-defrosting freezer, -20°C </v>
      </c>
      <c r="B531" s="26" t="s">
        <v>2150</v>
      </c>
      <c r="C531" s="26" t="s">
        <v>2489</v>
      </c>
      <c r="D531" s="170" t="s">
        <v>3802</v>
      </c>
      <c r="E531" s="553" t="s">
        <v>5404</v>
      </c>
    </row>
    <row r="532" spans="1:5">
      <c r="A532" s="295" t="str">
        <f t="shared" si="7"/>
        <v xml:space="preserve">Non-defrosting freezer, -60°C </v>
      </c>
      <c r="B532" s="170" t="s">
        <v>1609</v>
      </c>
      <c r="C532" s="26" t="s">
        <v>2490</v>
      </c>
      <c r="D532" s="170" t="s">
        <v>3803</v>
      </c>
      <c r="E532" s="553" t="s">
        <v>5405</v>
      </c>
    </row>
    <row r="533" spans="1:5">
      <c r="A533" s="295" t="str">
        <f t="shared" si="7"/>
        <v xml:space="preserve">Non-defrosting freezer, -80°C </v>
      </c>
      <c r="B533" s="26" t="s">
        <v>2151</v>
      </c>
      <c r="C533" s="26" t="s">
        <v>2491</v>
      </c>
      <c r="D533" s="170" t="s">
        <v>3804</v>
      </c>
      <c r="E533" s="553" t="s">
        <v>5406</v>
      </c>
    </row>
    <row r="534" spans="1:5" ht="27.6">
      <c r="A534" s="295" t="str">
        <f t="shared" si="7"/>
        <v>Hot air oven (for recharging desiccants)</v>
      </c>
      <c r="B534" s="26" t="s">
        <v>2169</v>
      </c>
      <c r="C534" s="26" t="s">
        <v>5427</v>
      </c>
      <c r="D534" s="170" t="s">
        <v>3919</v>
      </c>
      <c r="E534" s="553" t="s">
        <v>5408</v>
      </c>
    </row>
    <row r="535" spans="1:5" ht="41.4">
      <c r="A535" s="295" t="str">
        <f t="shared" si="7"/>
        <v>Hot plate with magnetic stir bar (for mixing powdered media)</v>
      </c>
      <c r="B535" s="26" t="s">
        <v>2162</v>
      </c>
      <c r="C535" s="26" t="s">
        <v>4577</v>
      </c>
      <c r="D535" s="289" t="s">
        <v>3812</v>
      </c>
      <c r="E535" s="553" t="s">
        <v>5414</v>
      </c>
    </row>
    <row r="536" spans="1:5">
      <c r="A536" s="295" t="str">
        <f t="shared" si="7"/>
        <v>Water bath</v>
      </c>
      <c r="B536" s="26" t="s">
        <v>2163</v>
      </c>
      <c r="C536" s="26" t="s">
        <v>4891</v>
      </c>
      <c r="D536" s="288" t="s">
        <v>2966</v>
      </c>
      <c r="E536" s="553" t="s">
        <v>5423</v>
      </c>
    </row>
    <row r="537" spans="1:5" ht="27.6">
      <c r="A537" s="295" t="str">
        <f t="shared" si="7"/>
        <v>TEMPERATURE AND ATMOSPHERE MONITORING</v>
      </c>
      <c r="B537" s="26" t="s">
        <v>646</v>
      </c>
      <c r="C537" s="26" t="s">
        <v>2433</v>
      </c>
      <c r="D537" s="170" t="s">
        <v>3920</v>
      </c>
      <c r="E537" s="553" t="s">
        <v>5006</v>
      </c>
    </row>
    <row r="538" spans="1:5" ht="124.2">
      <c r="A538" s="295" t="str">
        <f t="shared" si="7"/>
        <v>Observe if acceptable min/max temperature ranges have been clearly defined on record sheets for the following areas/equipment and if temperature checks are documented daily. Tick NA if the piece of equipment in question is not in use in the lab.</v>
      </c>
      <c r="B538" s="170" t="s">
        <v>6877</v>
      </c>
      <c r="C538" s="362" t="s">
        <v>4617</v>
      </c>
      <c r="D538" s="170" t="s">
        <v>3921</v>
      </c>
      <c r="E538" s="553" t="s">
        <v>5428</v>
      </c>
    </row>
    <row r="539" spans="1:5">
      <c r="A539" s="295" t="str">
        <f t="shared" si="7"/>
        <v>Room temperature</v>
      </c>
      <c r="B539" s="26" t="s">
        <v>2170</v>
      </c>
      <c r="C539" s="26" t="s">
        <v>2574</v>
      </c>
      <c r="D539" s="288" t="s">
        <v>3011</v>
      </c>
      <c r="E539" s="553" t="s">
        <v>5429</v>
      </c>
    </row>
    <row r="540" spans="1:5" ht="27.6">
      <c r="A540" s="295" t="str">
        <f t="shared" si="7"/>
        <v>Are temperatures recorded each day of use?</v>
      </c>
      <c r="B540" s="26" t="s">
        <v>714</v>
      </c>
      <c r="C540" s="26" t="s">
        <v>2575</v>
      </c>
      <c r="D540" s="288" t="s">
        <v>3922</v>
      </c>
      <c r="E540" s="553" t="s">
        <v>5430</v>
      </c>
    </row>
    <row r="541" spans="1:5" ht="55.2">
      <c r="A541" s="295" t="str">
        <f t="shared" si="7"/>
        <v>Is the acceptable temperature range (the minimum and maximum) clearly defined on the record sheet?</v>
      </c>
      <c r="B541" s="26" t="s">
        <v>2365</v>
      </c>
      <c r="C541" s="26" t="s">
        <v>2576</v>
      </c>
      <c r="D541" s="288" t="s">
        <v>3013</v>
      </c>
      <c r="E541" s="553" t="s">
        <v>5431</v>
      </c>
    </row>
    <row r="542" spans="1:5">
      <c r="A542" s="295" t="str">
        <f t="shared" si="7"/>
        <v>Freezers, -20°C</v>
      </c>
      <c r="B542" s="26" t="s">
        <v>2171</v>
      </c>
      <c r="C542" s="26" t="s">
        <v>2577</v>
      </c>
      <c r="D542" s="288" t="s">
        <v>3014</v>
      </c>
      <c r="E542" s="553" t="s">
        <v>3014</v>
      </c>
    </row>
    <row r="543" spans="1:5" ht="27.6">
      <c r="A543" s="295" t="str">
        <f t="shared" si="7"/>
        <v>Are temperatures recorded each day of use?</v>
      </c>
      <c r="B543" s="170" t="s">
        <v>714</v>
      </c>
      <c r="C543" s="26" t="s">
        <v>2575</v>
      </c>
      <c r="D543" s="170" t="s">
        <v>3012</v>
      </c>
      <c r="E543" s="553" t="s">
        <v>5430</v>
      </c>
    </row>
    <row r="544" spans="1:5" ht="55.2">
      <c r="A544" s="295" t="str">
        <f t="shared" si="7"/>
        <v>Is the acceptable temperature range (the minimum and maximum) clearly defined on the record sheet?</v>
      </c>
      <c r="B544" s="26" t="s">
        <v>2365</v>
      </c>
      <c r="C544" s="26" t="s">
        <v>2576</v>
      </c>
      <c r="D544" s="288" t="s">
        <v>3013</v>
      </c>
      <c r="E544" s="553" t="s">
        <v>5431</v>
      </c>
    </row>
    <row r="545" spans="1:5">
      <c r="A545" s="295" t="str">
        <f t="shared" ref="A545:A608" si="8">IF(langue=1,B545,IF(langue=2,C545,IF(langue=3,D545,IF(langue=4,E545,F545))))</f>
        <v>Freezers, -60°C</v>
      </c>
      <c r="B545" s="26" t="s">
        <v>2172</v>
      </c>
      <c r="C545" s="26" t="s">
        <v>2578</v>
      </c>
      <c r="D545" s="288" t="s">
        <v>3015</v>
      </c>
      <c r="E545" s="553" t="s">
        <v>3015</v>
      </c>
    </row>
    <row r="546" spans="1:5" ht="27.6">
      <c r="A546" s="295" t="str">
        <f t="shared" si="8"/>
        <v>Are temperatures recorded each day of use?</v>
      </c>
      <c r="B546" s="26" t="s">
        <v>714</v>
      </c>
      <c r="C546" s="26" t="s">
        <v>2575</v>
      </c>
      <c r="D546" s="288" t="s">
        <v>3012</v>
      </c>
      <c r="E546" s="553" t="s">
        <v>5430</v>
      </c>
    </row>
    <row r="547" spans="1:5" ht="55.2">
      <c r="A547" s="295" t="str">
        <f t="shared" si="8"/>
        <v>Is the acceptable temperature range (the minimum and maximum) clearly defined on the record sheet?</v>
      </c>
      <c r="B547" s="26" t="s">
        <v>2365</v>
      </c>
      <c r="C547" s="26" t="s">
        <v>2576</v>
      </c>
      <c r="D547" s="288" t="s">
        <v>3013</v>
      </c>
      <c r="E547" s="553" t="s">
        <v>5431</v>
      </c>
    </row>
    <row r="548" spans="1:5">
      <c r="A548" s="295" t="str">
        <f t="shared" si="8"/>
        <v>Freezers, -80°C</v>
      </c>
      <c r="B548" s="26" t="s">
        <v>2173</v>
      </c>
      <c r="C548" s="26" t="s">
        <v>2579</v>
      </c>
      <c r="D548" s="288" t="s">
        <v>3016</v>
      </c>
      <c r="E548" s="553" t="s">
        <v>3016</v>
      </c>
    </row>
    <row r="549" spans="1:5" ht="27.6">
      <c r="A549" s="295" t="str">
        <f t="shared" si="8"/>
        <v>Are temperatures recorded each day of use?</v>
      </c>
      <c r="B549" s="26" t="s">
        <v>714</v>
      </c>
      <c r="C549" s="26" t="s">
        <v>2575</v>
      </c>
      <c r="D549" s="288" t="s">
        <v>3012</v>
      </c>
      <c r="E549" s="553" t="s">
        <v>5430</v>
      </c>
    </row>
    <row r="550" spans="1:5" ht="55.2">
      <c r="A550" s="295" t="str">
        <f t="shared" si="8"/>
        <v>Is the acceptable temperature range (the minimum and maximum) clearly defined on the record sheet?</v>
      </c>
      <c r="B550" s="170" t="s">
        <v>2365</v>
      </c>
      <c r="C550" s="26" t="s">
        <v>2576</v>
      </c>
      <c r="D550" s="170" t="s">
        <v>3013</v>
      </c>
      <c r="E550" s="553" t="s">
        <v>5431</v>
      </c>
    </row>
    <row r="551" spans="1:5">
      <c r="A551" s="295" t="str">
        <f t="shared" si="8"/>
        <v>Refrigerators</v>
      </c>
      <c r="B551" s="26" t="s">
        <v>2174</v>
      </c>
      <c r="C551" s="26" t="s">
        <v>2580</v>
      </c>
      <c r="D551" s="288" t="s">
        <v>3923</v>
      </c>
      <c r="E551" s="553" t="s">
        <v>5432</v>
      </c>
    </row>
    <row r="552" spans="1:5" ht="27.6">
      <c r="A552" s="295" t="str">
        <f t="shared" si="8"/>
        <v>Are temperatures recorded each day of use?</v>
      </c>
      <c r="B552" s="26" t="s">
        <v>714</v>
      </c>
      <c r="C552" s="26" t="s">
        <v>2575</v>
      </c>
      <c r="D552" s="288" t="s">
        <v>3012</v>
      </c>
      <c r="E552" s="553" t="s">
        <v>5430</v>
      </c>
    </row>
    <row r="553" spans="1:5" ht="55.2">
      <c r="A553" s="295" t="str">
        <f t="shared" si="8"/>
        <v>Is the acceptable temperature range (the minimum and maximum) clearly defined on the record sheet?</v>
      </c>
      <c r="B553" s="26" t="s">
        <v>2365</v>
      </c>
      <c r="C553" s="26" t="s">
        <v>2576</v>
      </c>
      <c r="D553" s="288" t="s">
        <v>3013</v>
      </c>
      <c r="E553" s="553" t="s">
        <v>5431</v>
      </c>
    </row>
    <row r="554" spans="1:5">
      <c r="A554" s="295" t="str">
        <f t="shared" si="8"/>
        <v>Incubators, ambient atmosphere</v>
      </c>
      <c r="B554" s="26" t="s">
        <v>2175</v>
      </c>
      <c r="C554" s="26" t="s">
        <v>2581</v>
      </c>
      <c r="D554" s="170" t="s">
        <v>3924</v>
      </c>
      <c r="E554" s="553" t="s">
        <v>5433</v>
      </c>
    </row>
    <row r="555" spans="1:5" ht="27.6">
      <c r="A555" s="295" t="str">
        <f t="shared" si="8"/>
        <v>Are temperatures recorded each day of use?</v>
      </c>
      <c r="B555" s="26" t="s">
        <v>714</v>
      </c>
      <c r="C555" s="26" t="s">
        <v>2575</v>
      </c>
      <c r="D555" s="288" t="s">
        <v>3012</v>
      </c>
      <c r="E555" s="553" t="s">
        <v>5430</v>
      </c>
    </row>
    <row r="556" spans="1:5" ht="55.2">
      <c r="A556" s="295" t="str">
        <f t="shared" si="8"/>
        <v>Is the acceptable temperature range (the minimum and maximum) clearly defined on the record sheet?</v>
      </c>
      <c r="B556" s="26" t="s">
        <v>2365</v>
      </c>
      <c r="C556" s="26" t="s">
        <v>2576</v>
      </c>
      <c r="D556" s="288" t="s">
        <v>3013</v>
      </c>
      <c r="E556" s="553" t="s">
        <v>5431</v>
      </c>
    </row>
    <row r="557" spans="1:5">
      <c r="A557" s="295" t="str">
        <f t="shared" si="8"/>
        <v>Incubators, CO2</v>
      </c>
      <c r="B557" s="26" t="s">
        <v>2557</v>
      </c>
      <c r="C557" s="26" t="s">
        <v>2582</v>
      </c>
      <c r="D557" s="288" t="s">
        <v>3799</v>
      </c>
      <c r="E557" s="553" t="s">
        <v>3799</v>
      </c>
    </row>
    <row r="558" spans="1:5" ht="27.6">
      <c r="A558" s="295" t="str">
        <f t="shared" si="8"/>
        <v>Are temperatures recorded each day of use?</v>
      </c>
      <c r="B558" s="26" t="s">
        <v>714</v>
      </c>
      <c r="C558" s="26" t="s">
        <v>2575</v>
      </c>
      <c r="D558" s="288" t="s">
        <v>3012</v>
      </c>
      <c r="E558" s="553" t="s">
        <v>5430</v>
      </c>
    </row>
    <row r="559" spans="1:5" ht="55.2">
      <c r="A559" s="295" t="str">
        <f t="shared" si="8"/>
        <v>Is the acceptable temperature range (the minimum and maximum) clearly defined on the record sheet?</v>
      </c>
      <c r="B559" s="26" t="s">
        <v>2365</v>
      </c>
      <c r="C559" s="26" t="s">
        <v>2576</v>
      </c>
      <c r="D559" s="288" t="s">
        <v>3013</v>
      </c>
      <c r="E559" s="553" t="s">
        <v>5431</v>
      </c>
    </row>
    <row r="560" spans="1:5" ht="69">
      <c r="A560" s="295" t="str">
        <f t="shared" si="8"/>
        <v>Are CO2 incubators checked for adequate CO2 levels and documented daily (or each day of use if not used daily)?</v>
      </c>
      <c r="B560" s="26" t="s">
        <v>2558</v>
      </c>
      <c r="C560" s="26" t="s">
        <v>5434</v>
      </c>
      <c r="D560" s="288" t="s">
        <v>3925</v>
      </c>
      <c r="E560" s="553" t="s">
        <v>5435</v>
      </c>
    </row>
    <row r="561" spans="1:5">
      <c r="A561" s="295" t="str">
        <f t="shared" si="8"/>
        <v>Water baths</v>
      </c>
      <c r="B561" s="26" t="s">
        <v>2176</v>
      </c>
      <c r="C561" s="26" t="s">
        <v>2583</v>
      </c>
      <c r="D561" s="288" t="s">
        <v>3017</v>
      </c>
      <c r="E561" s="553" t="s">
        <v>5436</v>
      </c>
    </row>
    <row r="562" spans="1:5" ht="27.6">
      <c r="A562" s="295" t="str">
        <f t="shared" si="8"/>
        <v>Are temperatures recorded each day of use?</v>
      </c>
      <c r="B562" s="26" t="s">
        <v>714</v>
      </c>
      <c r="C562" s="26" t="s">
        <v>2575</v>
      </c>
      <c r="D562" s="288" t="s">
        <v>3012</v>
      </c>
      <c r="E562" s="553" t="s">
        <v>5430</v>
      </c>
    </row>
    <row r="563" spans="1:5" ht="55.2">
      <c r="A563" s="295" t="str">
        <f t="shared" si="8"/>
        <v>Is the acceptable temperature range (the minimum and maximum) clearly defined on the record sheet?</v>
      </c>
      <c r="B563" s="170" t="s">
        <v>2365</v>
      </c>
      <c r="C563" s="26" t="s">
        <v>2576</v>
      </c>
      <c r="D563" s="170" t="s">
        <v>3013</v>
      </c>
      <c r="E563" s="553" t="s">
        <v>5431</v>
      </c>
    </row>
    <row r="564" spans="1:5" ht="41.4">
      <c r="A564" s="295" t="str">
        <f t="shared" si="8"/>
        <v>Standard: Acceptable ranges should be defined for all temperature dependent equipment</v>
      </c>
      <c r="B564" s="26" t="s">
        <v>637</v>
      </c>
      <c r="C564" s="360" t="s">
        <v>5437</v>
      </c>
      <c r="D564" s="288" t="s">
        <v>3926</v>
      </c>
      <c r="E564" s="553" t="s">
        <v>5438</v>
      </c>
    </row>
    <row r="565" spans="1:5" ht="41.4">
      <c r="A565" s="295" t="str">
        <f t="shared" si="8"/>
        <v>Is there documentation of corrective action taken in response to out of range temperatures?</v>
      </c>
      <c r="B565" s="26" t="s">
        <v>715</v>
      </c>
      <c r="C565" s="26" t="s">
        <v>5439</v>
      </c>
      <c r="D565" s="288" t="s">
        <v>3927</v>
      </c>
      <c r="E565" s="553" t="s">
        <v>5440</v>
      </c>
    </row>
    <row r="566" spans="1:5" ht="41.4">
      <c r="A566" s="295" t="str">
        <f t="shared" si="8"/>
        <v>1: Yes - 2: No action is documented - 3: Temperatures are not recorded </v>
      </c>
      <c r="B566" s="26" t="s">
        <v>291</v>
      </c>
      <c r="C566" s="26" t="s">
        <v>2584</v>
      </c>
      <c r="D566" s="288" t="s">
        <v>3018</v>
      </c>
      <c r="E566" s="553" t="s">
        <v>5441</v>
      </c>
    </row>
    <row r="567" spans="1:5" ht="55.2">
      <c r="A567" s="295" t="str">
        <f t="shared" si="8"/>
        <v>Standard: Procedures should be available with instruction as to what action(s) should be taken when temperatures are out of range</v>
      </c>
      <c r="B567" s="26" t="s">
        <v>638</v>
      </c>
      <c r="C567" s="26" t="s">
        <v>5442</v>
      </c>
      <c r="D567" s="288" t="s">
        <v>3019</v>
      </c>
      <c r="E567" s="553" t="s">
        <v>5443</v>
      </c>
    </row>
    <row r="568" spans="1:5">
      <c r="A568" s="295" t="str">
        <f t="shared" si="8"/>
        <v>AUTOCLAVE MANAGEMENT</v>
      </c>
      <c r="B568" s="26" t="s">
        <v>645</v>
      </c>
      <c r="C568" s="26" t="s">
        <v>4618</v>
      </c>
      <c r="D568" s="288" t="s">
        <v>2912</v>
      </c>
      <c r="E568" s="553" t="s">
        <v>5444</v>
      </c>
    </row>
    <row r="569" spans="1:5" ht="82.8">
      <c r="A569" s="295" t="str">
        <f t="shared" si="8"/>
        <v>Do records demonstrate that the following mechanical indicators are recorded each time the autoclave is run? (Review logs to confirm)</v>
      </c>
      <c r="B569" s="170" t="s">
        <v>678</v>
      </c>
      <c r="C569" s="26" t="s">
        <v>5445</v>
      </c>
      <c r="D569" s="170" t="s">
        <v>3928</v>
      </c>
      <c r="E569" s="553" t="s">
        <v>5446</v>
      </c>
    </row>
    <row r="570" spans="1:5">
      <c r="A570" s="295" t="str">
        <f t="shared" si="8"/>
        <v>Temperature</v>
      </c>
      <c r="B570" s="26" t="s">
        <v>675</v>
      </c>
      <c r="C570" s="26" t="s">
        <v>2585</v>
      </c>
      <c r="D570" s="288" t="s">
        <v>3020</v>
      </c>
      <c r="E570" s="553" t="s">
        <v>3020</v>
      </c>
    </row>
    <row r="571" spans="1:5">
      <c r="A571" s="295" t="str">
        <f t="shared" si="8"/>
        <v>Pressure</v>
      </c>
      <c r="B571" s="26" t="s">
        <v>676</v>
      </c>
      <c r="C571" s="26" t="s">
        <v>2586</v>
      </c>
      <c r="D571" s="288" t="s">
        <v>3021</v>
      </c>
      <c r="E571" s="553" t="s">
        <v>5447</v>
      </c>
    </row>
    <row r="572" spans="1:5">
      <c r="A572" s="295" t="str">
        <f t="shared" si="8"/>
        <v>Cycle Time</v>
      </c>
      <c r="B572" s="26" t="s">
        <v>677</v>
      </c>
      <c r="C572" s="26" t="s">
        <v>5448</v>
      </c>
      <c r="D572" s="288" t="s">
        <v>3022</v>
      </c>
      <c r="E572" s="553" t="s">
        <v>5449</v>
      </c>
    </row>
    <row r="573" spans="1:5" ht="96.6">
      <c r="A573" s="295" t="str">
        <f t="shared" si="8"/>
        <v>Do records demonstrate that chemical indicators (e.g., heat sensitive tape) are used each time the autoclave is run? (Review logs to confirm)</v>
      </c>
      <c r="B573" s="26" t="s">
        <v>108</v>
      </c>
      <c r="C573" s="26" t="s">
        <v>5450</v>
      </c>
      <c r="D573" s="288" t="s">
        <v>3929</v>
      </c>
      <c r="E573" s="553" t="s">
        <v>5451</v>
      </c>
    </row>
    <row r="574" spans="1:5" ht="138">
      <c r="A574" s="295" t="str">
        <f t="shared" si="8"/>
        <v>Do records demonstrate that biological indicators (e.g., Attest or other spore system) are used to confirm the autoclave is achieving sterilization? (Review logs to confirm). 1- Weekly, 2- Monthly, 3- Less than monthly, 4- No records</v>
      </c>
      <c r="B574" s="26" t="s">
        <v>2197</v>
      </c>
      <c r="C574" s="26" t="s">
        <v>5452</v>
      </c>
      <c r="D574" s="288" t="s">
        <v>3930</v>
      </c>
      <c r="E574" s="553" t="s">
        <v>5453</v>
      </c>
    </row>
    <row r="575" spans="1:5" ht="41.4">
      <c r="A575" s="295" t="str">
        <f t="shared" si="8"/>
        <v>Is the same autoclave used for both media preparation and waste sterilization?</v>
      </c>
      <c r="B575" s="26" t="s">
        <v>1817</v>
      </c>
      <c r="C575" s="26" t="s">
        <v>2587</v>
      </c>
      <c r="D575" s="288" t="s">
        <v>3023</v>
      </c>
      <c r="E575" s="553" t="s">
        <v>5454</v>
      </c>
    </row>
    <row r="576" spans="1:5" ht="27.6">
      <c r="A576" s="295" t="str">
        <f t="shared" si="8"/>
        <v>INSTRUMENT AVAILABILITY AND MAINTENANCE</v>
      </c>
      <c r="B576" s="26" t="s">
        <v>2177</v>
      </c>
      <c r="C576" s="26" t="s">
        <v>2588</v>
      </c>
      <c r="D576" s="288" t="s">
        <v>3024</v>
      </c>
      <c r="E576" s="553" t="s">
        <v>5455</v>
      </c>
    </row>
    <row r="577" spans="1:5" ht="27.6">
      <c r="A577" s="295" t="str">
        <f t="shared" si="8"/>
        <v>Enter quantity in column D (#)</v>
      </c>
      <c r="B577" s="26" t="s">
        <v>7156</v>
      </c>
      <c r="C577" s="26" t="s">
        <v>5456</v>
      </c>
      <c r="D577" s="288" t="s">
        <v>7173</v>
      </c>
      <c r="E577" s="553" t="s">
        <v>5457</v>
      </c>
    </row>
    <row r="578" spans="1:5" ht="55.2">
      <c r="A578" s="295" t="str">
        <f t="shared" si="8"/>
        <v>Does the lab have an automated blood culture instrument? (indicate manufacturer and model in comments)</v>
      </c>
      <c r="B578" s="26" t="s">
        <v>1610</v>
      </c>
      <c r="C578" s="26" t="s">
        <v>5458</v>
      </c>
      <c r="D578" s="288" t="s">
        <v>3931</v>
      </c>
      <c r="E578" s="553" t="s">
        <v>5459</v>
      </c>
    </row>
    <row r="579" spans="1:5" ht="27.6">
      <c r="A579" s="295" t="str">
        <f t="shared" si="8"/>
        <v>Is the instrument functional today?</v>
      </c>
      <c r="B579" s="26" t="s">
        <v>685</v>
      </c>
      <c r="C579" s="26" t="s">
        <v>2589</v>
      </c>
      <c r="D579" s="288" t="s">
        <v>3932</v>
      </c>
      <c r="E579" s="553" t="s">
        <v>5460</v>
      </c>
    </row>
    <row r="580" spans="1:5">
      <c r="A580" s="295" t="str">
        <f t="shared" si="8"/>
        <v>Is a user manual present?</v>
      </c>
      <c r="B580" s="26" t="s">
        <v>679</v>
      </c>
      <c r="C580" s="26" t="s">
        <v>5461</v>
      </c>
      <c r="D580" s="288" t="s">
        <v>3025</v>
      </c>
      <c r="E580" s="553" t="s">
        <v>5462</v>
      </c>
    </row>
    <row r="581" spans="1:5" ht="41.4">
      <c r="A581" s="295" t="str">
        <f t="shared" si="8"/>
        <v>Are routine (user) maintenance records present?</v>
      </c>
      <c r="B581" s="26" t="s">
        <v>680</v>
      </c>
      <c r="C581" s="26" t="s">
        <v>5463</v>
      </c>
      <c r="D581" s="288" t="s">
        <v>3933</v>
      </c>
      <c r="E581" s="553" t="s">
        <v>5464</v>
      </c>
    </row>
    <row r="582" spans="1:5" ht="41.4">
      <c r="A582" s="295" t="str">
        <f t="shared" si="8"/>
        <v>Are preventive (vendor) maintenance records present?</v>
      </c>
      <c r="B582" s="170" t="s">
        <v>681</v>
      </c>
      <c r="C582" s="26" t="s">
        <v>5465</v>
      </c>
      <c r="D582" s="170" t="s">
        <v>3934</v>
      </c>
      <c r="E582" s="553" t="s">
        <v>5466</v>
      </c>
    </row>
    <row r="583" spans="1:5" ht="27.6">
      <c r="A583" s="295" t="str">
        <f t="shared" si="8"/>
        <v>Is a service contract in place?</v>
      </c>
      <c r="B583" s="26" t="s">
        <v>682</v>
      </c>
      <c r="C583" s="26" t="s">
        <v>5467</v>
      </c>
      <c r="D583" s="288" t="s">
        <v>3026</v>
      </c>
      <c r="E583" s="553" t="s">
        <v>5468</v>
      </c>
    </row>
    <row r="584" spans="1:5">
      <c r="A584" s="295" t="str">
        <f t="shared" si="8"/>
        <v>Is the software up to date?</v>
      </c>
      <c r="B584" s="26" t="s">
        <v>684</v>
      </c>
      <c r="C584" s="26" t="s">
        <v>2590</v>
      </c>
      <c r="D584" s="288" t="s">
        <v>3935</v>
      </c>
      <c r="E584" s="553" t="s">
        <v>5469</v>
      </c>
    </row>
    <row r="585" spans="1:5" ht="55.2">
      <c r="A585" s="295" t="str">
        <f t="shared" si="8"/>
        <v>Does the lab have an automated instrument for bacterial ID and AST? (e.g., Vitek, Microscan, Phoenix)</v>
      </c>
      <c r="B585" s="26" t="s">
        <v>683</v>
      </c>
      <c r="C585" s="26" t="s">
        <v>5470</v>
      </c>
      <c r="D585" s="288" t="s">
        <v>3936</v>
      </c>
      <c r="E585" s="553" t="s">
        <v>5471</v>
      </c>
    </row>
    <row r="586" spans="1:5" ht="27.6">
      <c r="A586" s="295" t="str">
        <f t="shared" si="8"/>
        <v>Is the instrument functional today?</v>
      </c>
      <c r="B586" s="26" t="s">
        <v>685</v>
      </c>
      <c r="C586" s="26" t="s">
        <v>2589</v>
      </c>
      <c r="D586" s="288" t="s">
        <v>3932</v>
      </c>
      <c r="E586" s="553" t="s">
        <v>5460</v>
      </c>
    </row>
    <row r="587" spans="1:5">
      <c r="A587" s="295" t="str">
        <f t="shared" si="8"/>
        <v>Is a user manual present?</v>
      </c>
      <c r="B587" s="26" t="s">
        <v>679</v>
      </c>
      <c r="C587" s="26" t="s">
        <v>5461</v>
      </c>
      <c r="D587" s="288" t="s">
        <v>3025</v>
      </c>
      <c r="E587" s="553" t="s">
        <v>5462</v>
      </c>
    </row>
    <row r="588" spans="1:5" ht="41.4">
      <c r="A588" s="295" t="str">
        <f t="shared" si="8"/>
        <v>Are routine (user) maintenance records present?</v>
      </c>
      <c r="B588" s="26" t="s">
        <v>680</v>
      </c>
      <c r="C588" s="26" t="s">
        <v>5463</v>
      </c>
      <c r="D588" s="288" t="s">
        <v>3933</v>
      </c>
      <c r="E588" s="553" t="s">
        <v>5464</v>
      </c>
    </row>
    <row r="589" spans="1:5" ht="41.4">
      <c r="A589" s="295" t="str">
        <f t="shared" si="8"/>
        <v>Are preventive (vendor) maintenance records present?</v>
      </c>
      <c r="B589" s="170" t="s">
        <v>681</v>
      </c>
      <c r="C589" s="26" t="s">
        <v>5465</v>
      </c>
      <c r="D589" s="170" t="s">
        <v>3934</v>
      </c>
      <c r="E589" s="553" t="s">
        <v>6829</v>
      </c>
    </row>
    <row r="590" spans="1:5" ht="27.6">
      <c r="A590" s="295" t="str">
        <f t="shared" si="8"/>
        <v>Is a service contract in place?</v>
      </c>
      <c r="B590" s="26" t="s">
        <v>682</v>
      </c>
      <c r="C590" s="26" t="s">
        <v>5467</v>
      </c>
      <c r="D590" s="288" t="s">
        <v>3026</v>
      </c>
      <c r="E590" s="553" t="s">
        <v>5468</v>
      </c>
    </row>
    <row r="591" spans="1:5">
      <c r="A591" s="295" t="str">
        <f t="shared" si="8"/>
        <v>Is the software up to date?</v>
      </c>
      <c r="B591" s="26" t="s">
        <v>684</v>
      </c>
      <c r="C591" s="26" t="s">
        <v>2590</v>
      </c>
      <c r="D591" s="288" t="s">
        <v>3935</v>
      </c>
      <c r="E591" s="553" t="s">
        <v>5469</v>
      </c>
    </row>
    <row r="592" spans="1:5" ht="69">
      <c r="A592" s="295" t="str">
        <f t="shared" si="8"/>
        <v>Does the lab have an automated instrument for reading disk diffusion? (e.g., SIRSCAN, BIOMIC V3, ADAGIO, etc.)</v>
      </c>
      <c r="B592" s="26" t="s">
        <v>6878</v>
      </c>
      <c r="C592" s="26" t="s">
        <v>5472</v>
      </c>
      <c r="D592" s="289" t="s">
        <v>3937</v>
      </c>
      <c r="E592" s="553" t="s">
        <v>5473</v>
      </c>
    </row>
    <row r="593" spans="1:5" ht="27.6">
      <c r="A593" s="295" t="str">
        <f t="shared" si="8"/>
        <v>Is the instrument functional today?</v>
      </c>
      <c r="B593" s="26" t="s">
        <v>685</v>
      </c>
      <c r="C593" s="26" t="s">
        <v>2589</v>
      </c>
      <c r="D593" s="288" t="s">
        <v>3932</v>
      </c>
      <c r="E593" s="553" t="s">
        <v>5460</v>
      </c>
    </row>
    <row r="594" spans="1:5">
      <c r="A594" s="295" t="str">
        <f t="shared" si="8"/>
        <v>Is a user manual present?</v>
      </c>
      <c r="B594" s="26" t="s">
        <v>679</v>
      </c>
      <c r="C594" s="26" t="s">
        <v>5461</v>
      </c>
      <c r="D594" s="288" t="s">
        <v>3025</v>
      </c>
      <c r="E594" s="553" t="s">
        <v>5462</v>
      </c>
    </row>
    <row r="595" spans="1:5" ht="41.4">
      <c r="A595" s="295" t="str">
        <f t="shared" si="8"/>
        <v>Are routine (user) maintenance records present?</v>
      </c>
      <c r="B595" s="26" t="s">
        <v>680</v>
      </c>
      <c r="C595" s="26" t="s">
        <v>5463</v>
      </c>
      <c r="D595" s="288" t="s">
        <v>3933</v>
      </c>
      <c r="E595" s="553" t="s">
        <v>5464</v>
      </c>
    </row>
    <row r="596" spans="1:5" ht="41.4">
      <c r="A596" s="295" t="str">
        <f t="shared" si="8"/>
        <v>Are preventive (vendor) maintenance records present?</v>
      </c>
      <c r="B596" s="170" t="s">
        <v>681</v>
      </c>
      <c r="C596" s="26" t="s">
        <v>5465</v>
      </c>
      <c r="D596" s="170" t="s">
        <v>3934</v>
      </c>
      <c r="E596" s="553" t="s">
        <v>6829</v>
      </c>
    </row>
    <row r="597" spans="1:5" ht="27.6">
      <c r="A597" s="295" t="str">
        <f t="shared" si="8"/>
        <v>Is a service contract in place?</v>
      </c>
      <c r="B597" s="26" t="s">
        <v>682</v>
      </c>
      <c r="C597" s="26" t="s">
        <v>5467</v>
      </c>
      <c r="D597" s="288" t="s">
        <v>3026</v>
      </c>
      <c r="E597" s="553" t="s">
        <v>5468</v>
      </c>
    </row>
    <row r="598" spans="1:5">
      <c r="A598" s="295" t="str">
        <f t="shared" si="8"/>
        <v>Is the software up to date?</v>
      </c>
      <c r="B598" s="26" t="s">
        <v>684</v>
      </c>
      <c r="C598" s="26" t="s">
        <v>2590</v>
      </c>
      <c r="D598" s="288" t="s">
        <v>3027</v>
      </c>
      <c r="E598" s="553" t="s">
        <v>5469</v>
      </c>
    </row>
    <row r="599" spans="1:5" ht="55.2">
      <c r="A599" s="295" t="str">
        <f t="shared" si="8"/>
        <v>Does the lab have a MALDI instrument for organism ID? (e.g., Bruker, Biomerieux)</v>
      </c>
      <c r="B599" s="26" t="s">
        <v>2179</v>
      </c>
      <c r="C599" s="26" t="s">
        <v>2591</v>
      </c>
      <c r="D599" s="288" t="s">
        <v>3938</v>
      </c>
      <c r="E599" s="553" t="s">
        <v>5474</v>
      </c>
    </row>
    <row r="600" spans="1:5" ht="27.6">
      <c r="A600" s="295" t="str">
        <f t="shared" si="8"/>
        <v>Is the instrument functional today?</v>
      </c>
      <c r="B600" s="26" t="s">
        <v>685</v>
      </c>
      <c r="C600" s="288" t="s">
        <v>2589</v>
      </c>
      <c r="D600" s="288" t="s">
        <v>3932</v>
      </c>
      <c r="E600" s="553" t="s">
        <v>5460</v>
      </c>
    </row>
    <row r="601" spans="1:5">
      <c r="A601" s="295" t="str">
        <f t="shared" si="8"/>
        <v>Is a user manual present?</v>
      </c>
      <c r="B601" s="26" t="s">
        <v>679</v>
      </c>
      <c r="C601" s="288" t="s">
        <v>5461</v>
      </c>
      <c r="D601" s="288" t="s">
        <v>3025</v>
      </c>
      <c r="E601" s="553" t="s">
        <v>5462</v>
      </c>
    </row>
    <row r="602" spans="1:5" ht="41.4">
      <c r="A602" s="295" t="str">
        <f t="shared" si="8"/>
        <v>Are routine (user) maintenance records present?</v>
      </c>
      <c r="B602" s="26" t="s">
        <v>680</v>
      </c>
      <c r="C602" s="288" t="s">
        <v>5463</v>
      </c>
      <c r="D602" s="288" t="s">
        <v>3933</v>
      </c>
      <c r="E602" s="553" t="s">
        <v>5464</v>
      </c>
    </row>
    <row r="603" spans="1:5" ht="41.4">
      <c r="A603" s="295" t="str">
        <f t="shared" si="8"/>
        <v>Are preventive (vendor) maintenance records present?</v>
      </c>
      <c r="B603" s="170" t="s">
        <v>681</v>
      </c>
      <c r="C603" s="288" t="s">
        <v>5465</v>
      </c>
      <c r="D603" s="170" t="s">
        <v>3934</v>
      </c>
      <c r="E603" s="553" t="s">
        <v>6829</v>
      </c>
    </row>
    <row r="604" spans="1:5" ht="27.6">
      <c r="A604" s="295" t="str">
        <f t="shared" si="8"/>
        <v>Is a service contract in place?</v>
      </c>
      <c r="B604" s="26" t="s">
        <v>682</v>
      </c>
      <c r="C604" s="288" t="s">
        <v>5467</v>
      </c>
      <c r="D604" s="288" t="s">
        <v>3026</v>
      </c>
      <c r="E604" s="553" t="s">
        <v>5468</v>
      </c>
    </row>
    <row r="605" spans="1:5">
      <c r="A605" s="295" t="str">
        <f t="shared" si="8"/>
        <v>Is the software up to date?</v>
      </c>
      <c r="B605" s="26" t="s">
        <v>684</v>
      </c>
      <c r="C605" s="288" t="s">
        <v>2590</v>
      </c>
      <c r="D605" s="288" t="s">
        <v>3935</v>
      </c>
      <c r="E605" s="553" t="s">
        <v>5469</v>
      </c>
    </row>
    <row r="606" spans="1:5" ht="55.2">
      <c r="A606" s="295" t="str">
        <f t="shared" si="8"/>
        <v>Does the lab have a PCR instrument used for detecting antibiotic resistance genes? (e.g., GeneXpert)</v>
      </c>
      <c r="B606" s="26" t="s">
        <v>2559</v>
      </c>
      <c r="C606" s="26" t="s">
        <v>2592</v>
      </c>
      <c r="D606" s="288" t="s">
        <v>3939</v>
      </c>
      <c r="E606" s="553" t="s">
        <v>5475</v>
      </c>
    </row>
    <row r="607" spans="1:5" ht="27.6">
      <c r="A607" s="295" t="str">
        <f t="shared" si="8"/>
        <v>Is the instrument functional today?</v>
      </c>
      <c r="B607" s="26" t="s">
        <v>685</v>
      </c>
      <c r="C607" s="288" t="s">
        <v>2589</v>
      </c>
      <c r="D607" s="288" t="s">
        <v>3932</v>
      </c>
      <c r="E607" s="553" t="s">
        <v>5460</v>
      </c>
    </row>
    <row r="608" spans="1:5">
      <c r="A608" s="295" t="str">
        <f t="shared" si="8"/>
        <v>Is a user manual present?</v>
      </c>
      <c r="B608" s="26" t="s">
        <v>679</v>
      </c>
      <c r="C608" s="288" t="s">
        <v>5461</v>
      </c>
      <c r="D608" s="288" t="s">
        <v>3025</v>
      </c>
      <c r="E608" s="553" t="s">
        <v>5462</v>
      </c>
    </row>
    <row r="609" spans="1:5" ht="41.4">
      <c r="A609" s="295" t="str">
        <f t="shared" ref="A609:A673" si="9">IF(langue=1,B609,IF(langue=2,C609,IF(langue=3,D609,IF(langue=4,E609,F609))))</f>
        <v>Are routine (user) maintenance records present?</v>
      </c>
      <c r="B609" s="26" t="s">
        <v>680</v>
      </c>
      <c r="C609" s="288" t="s">
        <v>5463</v>
      </c>
      <c r="D609" s="288" t="s">
        <v>3933</v>
      </c>
      <c r="E609" s="553" t="s">
        <v>5464</v>
      </c>
    </row>
    <row r="610" spans="1:5" ht="41.4">
      <c r="A610" s="295" t="str">
        <f t="shared" si="9"/>
        <v>Are preventive (vendor) maintenance records present?</v>
      </c>
      <c r="B610" s="170" t="s">
        <v>681</v>
      </c>
      <c r="C610" s="288" t="s">
        <v>5465</v>
      </c>
      <c r="D610" s="170" t="s">
        <v>3934</v>
      </c>
      <c r="E610" s="553" t="s">
        <v>6829</v>
      </c>
    </row>
    <row r="611" spans="1:5" ht="27.6">
      <c r="A611" s="295" t="str">
        <f t="shared" si="9"/>
        <v>Is a service contract in place?</v>
      </c>
      <c r="B611" s="26" t="s">
        <v>682</v>
      </c>
      <c r="C611" s="288" t="s">
        <v>5467</v>
      </c>
      <c r="D611" s="288" t="s">
        <v>3026</v>
      </c>
      <c r="E611" s="553" t="s">
        <v>5468</v>
      </c>
    </row>
    <row r="612" spans="1:5">
      <c r="A612" s="295" t="str">
        <f t="shared" si="9"/>
        <v>Is the software up to date?</v>
      </c>
      <c r="B612" s="26" t="s">
        <v>684</v>
      </c>
      <c r="C612" s="288" t="s">
        <v>2590</v>
      </c>
      <c r="D612" s="288" t="s">
        <v>3935</v>
      </c>
      <c r="E612" s="553" t="s">
        <v>5469</v>
      </c>
    </row>
    <row r="613" spans="1:5" ht="69">
      <c r="A613" s="295" t="str">
        <f t="shared" si="9"/>
        <v>In the last 6 months, has prolonged instrument failure disrupted the ability to provide routine bacteriology services?</v>
      </c>
      <c r="B613" s="26" t="s">
        <v>2406</v>
      </c>
      <c r="C613" s="26" t="s">
        <v>2593</v>
      </c>
      <c r="D613" s="288" t="s">
        <v>3940</v>
      </c>
      <c r="E613" s="553" t="s">
        <v>5476</v>
      </c>
    </row>
    <row r="614" spans="1:5" ht="69">
      <c r="A614" s="295" t="str">
        <f t="shared" si="9"/>
        <v>In the event of prolonged instrument failure, is a contingency plan in place to provide uninterrupted bacteriology services?</v>
      </c>
      <c r="B614" s="26" t="s">
        <v>686</v>
      </c>
      <c r="C614" s="26" t="s">
        <v>4619</v>
      </c>
      <c r="D614" s="288" t="s">
        <v>3941</v>
      </c>
      <c r="E614" s="553" t="s">
        <v>5477</v>
      </c>
    </row>
    <row r="615" spans="1:5">
      <c r="A615" s="295" t="str">
        <f t="shared" si="9"/>
        <v>INVENTORY &amp; STOCK OUTS</v>
      </c>
      <c r="B615" s="26" t="s">
        <v>2091</v>
      </c>
      <c r="C615" s="26" t="s">
        <v>5013</v>
      </c>
      <c r="D615" s="170" t="s">
        <v>3942</v>
      </c>
      <c r="E615" s="553" t="s">
        <v>5478</v>
      </c>
    </row>
    <row r="616" spans="1:5" ht="27.6">
      <c r="A616" s="295" t="str">
        <f t="shared" si="9"/>
        <v>Does the lab have an inventory control system in place?</v>
      </c>
      <c r="B616" s="170" t="s">
        <v>26</v>
      </c>
      <c r="C616" s="26" t="s">
        <v>5479</v>
      </c>
      <c r="D616" s="170" t="s">
        <v>3943</v>
      </c>
      <c r="E616" s="553" t="s">
        <v>5480</v>
      </c>
    </row>
    <row r="617" spans="1:5" ht="82.8">
      <c r="A617" s="295" t="str">
        <f t="shared" si="9"/>
        <v>In the last 6 months, has the lab/hospital experienced stock outs of specimen collection materials? (e.g., blood culture bottles, sterile cups, sterile swabs)</v>
      </c>
      <c r="B617" s="26" t="s">
        <v>6879</v>
      </c>
      <c r="C617" s="362" t="s">
        <v>5481</v>
      </c>
      <c r="D617" s="288" t="s">
        <v>3944</v>
      </c>
      <c r="E617" s="553" t="s">
        <v>5482</v>
      </c>
    </row>
    <row r="618" spans="1:5" ht="96.6">
      <c r="A618" s="295" t="str">
        <f t="shared" si="9"/>
        <v>In the last 6 months, has the lab experienced stock outs of consumables? (e.g.,, petri dishes, tubes, sterile saline, pipettes, pipette tips, plastic inoculating loops, gloves, paper, gauze, disinfectant)</v>
      </c>
      <c r="B618" s="26" t="s">
        <v>6880</v>
      </c>
      <c r="C618" s="26" t="s">
        <v>5483</v>
      </c>
      <c r="D618" s="288" t="s">
        <v>3945</v>
      </c>
      <c r="E618" s="553" t="s">
        <v>5484</v>
      </c>
    </row>
    <row r="619" spans="1:5" ht="69">
      <c r="A619" s="295" t="str">
        <f t="shared" si="9"/>
        <v>In the last 6 months, has the lab experienced stock outs of media? (e.g., powdered media, sheep blood, other additives, tubed media)</v>
      </c>
      <c r="B619" s="26" t="s">
        <v>6881</v>
      </c>
      <c r="C619" s="26" t="s">
        <v>4620</v>
      </c>
      <c r="D619" s="288" t="s">
        <v>3946</v>
      </c>
      <c r="E619" s="553" t="s">
        <v>5485</v>
      </c>
    </row>
    <row r="620" spans="1:5" ht="82.8">
      <c r="A620" s="295" t="str">
        <f t="shared" si="9"/>
        <v>In the last 6 months, has the lab experienced stock outs of conventional reagents? (e.g., oxidase reagent, indole reagent, catalase reagent, coagulase reagent, etc.)</v>
      </c>
      <c r="B620" s="26" t="s">
        <v>6882</v>
      </c>
      <c r="C620" s="362" t="s">
        <v>2594</v>
      </c>
      <c r="D620" s="288" t="s">
        <v>3947</v>
      </c>
      <c r="E620" s="553" t="s">
        <v>5486</v>
      </c>
    </row>
    <row r="621" spans="1:5" ht="55.2">
      <c r="A621" s="295" t="str">
        <f t="shared" si="9"/>
        <v>In the last 6 months, has the lab experienced stock outs of antibiotic disks or strips?</v>
      </c>
      <c r="B621" s="26" t="s">
        <v>2560</v>
      </c>
      <c r="C621" s="26" t="s">
        <v>2595</v>
      </c>
      <c r="D621" s="288" t="s">
        <v>3948</v>
      </c>
      <c r="E621" s="553" t="s">
        <v>5487</v>
      </c>
    </row>
    <row r="622" spans="1:5" ht="69">
      <c r="A622" s="295" t="str">
        <f t="shared" si="9"/>
        <v>In the last 6 months, has the lab experienced stock outs of ID or AST cards/trays for the automated instruments?</v>
      </c>
      <c r="B622" s="26" t="s">
        <v>2561</v>
      </c>
      <c r="C622" s="26" t="s">
        <v>4621</v>
      </c>
      <c r="D622" s="170" t="s">
        <v>3949</v>
      </c>
      <c r="E622" s="553" t="s">
        <v>5488</v>
      </c>
    </row>
    <row r="623" spans="1:5" ht="55.2">
      <c r="A623" s="295" t="str">
        <f t="shared" si="9"/>
        <v xml:space="preserve">In the last 6 months, has the lab experienced stock outs of control materials or reference strains? </v>
      </c>
      <c r="B623" s="170" t="s">
        <v>2562</v>
      </c>
      <c r="C623" s="26" t="s">
        <v>5489</v>
      </c>
      <c r="D623" s="170" t="s">
        <v>3950</v>
      </c>
      <c r="E623" s="553" t="s">
        <v>5490</v>
      </c>
    </row>
    <row r="624" spans="1:5" ht="41.4">
      <c r="A624" s="295" t="str">
        <f t="shared" si="9"/>
        <v xml:space="preserve">In the last 6 months, has the lab experienced stock outs of other key materials? </v>
      </c>
      <c r="B624" s="26" t="s">
        <v>2563</v>
      </c>
      <c r="C624" s="26" t="s">
        <v>2596</v>
      </c>
      <c r="D624" s="288" t="s">
        <v>3951</v>
      </c>
      <c r="E624" s="553" t="s">
        <v>6830</v>
      </c>
    </row>
    <row r="625" spans="1:5" ht="55.2">
      <c r="A625" s="295" t="str">
        <f t="shared" si="9"/>
        <v>In the last 6 months, have any stock outs disrupted the lab's ability to provide routine bacteriology services?</v>
      </c>
      <c r="B625" s="26" t="s">
        <v>2092</v>
      </c>
      <c r="C625" s="26" t="s">
        <v>2597</v>
      </c>
      <c r="D625" s="288" t="s">
        <v>3952</v>
      </c>
      <c r="E625" s="553" t="s">
        <v>5491</v>
      </c>
    </row>
    <row r="626" spans="1:5" ht="69">
      <c r="A626" s="295" t="str">
        <f t="shared" si="9"/>
        <v>In the event of stock outs, is a contingency plan in place to provide uninterrupted bacteriology services?</v>
      </c>
      <c r="B626" s="26" t="s">
        <v>1611</v>
      </c>
      <c r="C626" s="26" t="s">
        <v>4622</v>
      </c>
      <c r="D626" s="288" t="s">
        <v>3953</v>
      </c>
      <c r="E626" s="553" t="s">
        <v>5492</v>
      </c>
    </row>
    <row r="627" spans="1:5" ht="124.2">
      <c r="A627" s="295" t="str">
        <f t="shared" si="9"/>
        <v>Standard: Testing services should not be subject to interruption due to stock outs. Laboratories should pursue all options for borrowing stock from another laboratory or referring samples to another testing facility while the stock out is being addressed.</v>
      </c>
      <c r="B627" s="26" t="s">
        <v>27</v>
      </c>
      <c r="C627" s="26" t="s">
        <v>4623</v>
      </c>
      <c r="D627" s="170" t="s">
        <v>3954</v>
      </c>
      <c r="E627" s="553" t="s">
        <v>6831</v>
      </c>
    </row>
    <row r="628" spans="1:5" ht="69">
      <c r="A628" s="295" t="str">
        <f t="shared" si="9"/>
        <v>Are all currently in use media, reagents and test kits within the manufacturer-assigned expiry dates? (Verify by random sampling)</v>
      </c>
      <c r="B628" s="26" t="s">
        <v>1574</v>
      </c>
      <c r="C628" s="26" t="s">
        <v>5493</v>
      </c>
      <c r="D628" s="288" t="s">
        <v>3955</v>
      </c>
      <c r="E628" s="553" t="s">
        <v>5494</v>
      </c>
    </row>
    <row r="629" spans="1:5" ht="96.6">
      <c r="A629" s="295" t="str">
        <f t="shared" si="9"/>
        <v>Standard: All reagent and test kits in use, as well as those in stock, should be within the manufacturer-assigned expiry dates. Expired stock should not be entered into use and should be documented before disposal.</v>
      </c>
      <c r="B629" s="26" t="s">
        <v>83</v>
      </c>
      <c r="C629" s="26" t="s">
        <v>4624</v>
      </c>
      <c r="D629" s="288" t="s">
        <v>3956</v>
      </c>
      <c r="E629" s="553" t="s">
        <v>6832</v>
      </c>
    </row>
    <row r="630" spans="1:5" ht="96.6">
      <c r="A630" s="295" t="str">
        <f t="shared" si="9"/>
        <v>Are all reconstituted reagents, such as coagulase plasma, within stability from the date of reconstitution? (Coagulase plasma expires 30 days after reconstitution when stored frozen).</v>
      </c>
      <c r="B630" s="26" t="s">
        <v>85</v>
      </c>
      <c r="C630" s="26" t="s">
        <v>2598</v>
      </c>
      <c r="D630" s="288" t="s">
        <v>3957</v>
      </c>
      <c r="E630" s="553" t="s">
        <v>5495</v>
      </c>
    </row>
    <row r="631" spans="1:5">
      <c r="A631" s="295" t="str">
        <f t="shared" si="9"/>
        <v>Functional equipment?</v>
      </c>
      <c r="B631" s="26" t="s">
        <v>1554</v>
      </c>
      <c r="C631" s="26" t="s">
        <v>2599</v>
      </c>
      <c r="D631" s="288" t="s">
        <v>3958</v>
      </c>
      <c r="E631" s="553" t="s">
        <v>5496</v>
      </c>
    </row>
    <row r="632" spans="1:5" ht="55.2">
      <c r="A632" s="295" t="str">
        <f t="shared" si="9"/>
        <v>Please comment "insufficient" if the amount of functional equipment present is insufficient for the laboratory's volume of testing.</v>
      </c>
      <c r="B632" s="26" t="s">
        <v>1555</v>
      </c>
      <c r="C632" s="26" t="s">
        <v>4625</v>
      </c>
      <c r="D632" s="288" t="s">
        <v>3959</v>
      </c>
      <c r="E632" s="553" t="s">
        <v>5497</v>
      </c>
    </row>
    <row r="633" spans="1:5">
      <c r="A633" s="295" t="str">
        <f t="shared" si="9"/>
        <v>Temperature recorded</v>
      </c>
      <c r="B633" s="26" t="s">
        <v>910</v>
      </c>
      <c r="C633" s="26" t="s">
        <v>2434</v>
      </c>
      <c r="D633" s="288" t="s">
        <v>2910</v>
      </c>
      <c r="E633" s="553" t="s">
        <v>2910</v>
      </c>
    </row>
    <row r="634" spans="1:5">
      <c r="A634" s="295" t="str">
        <f t="shared" si="9"/>
        <v>Ranges defined</v>
      </c>
      <c r="B634" s="26" t="s">
        <v>909</v>
      </c>
      <c r="C634" s="26" t="s">
        <v>4549</v>
      </c>
      <c r="D634" s="288" t="s">
        <v>2911</v>
      </c>
      <c r="E634" s="553" t="s">
        <v>5009</v>
      </c>
    </row>
    <row r="635" spans="1:5">
      <c r="A635" s="295" t="str">
        <f t="shared" si="9"/>
        <v>BRAND:</v>
      </c>
      <c r="B635" s="26" t="s">
        <v>2555</v>
      </c>
      <c r="C635" s="26" t="s">
        <v>2600</v>
      </c>
      <c r="D635" s="288" t="s">
        <v>3028</v>
      </c>
      <c r="E635" s="553" t="s">
        <v>3028</v>
      </c>
    </row>
    <row r="636" spans="1:5">
      <c r="A636" s="295" t="str">
        <f t="shared" si="9"/>
        <v>BRAND/ MODEL:</v>
      </c>
      <c r="B636" s="26" t="s">
        <v>2080</v>
      </c>
      <c r="C636" s="26" t="s">
        <v>2601</v>
      </c>
      <c r="D636" s="288" t="s">
        <v>3960</v>
      </c>
      <c r="E636" s="553" t="s">
        <v>3960</v>
      </c>
    </row>
    <row r="637" spans="1:5" ht="27.6">
      <c r="A637" s="295" t="str">
        <f t="shared" si="9"/>
        <v>2 - LABORATORY INFORMATION SYSTEM (ELECTRONIC)</v>
      </c>
      <c r="B637" s="26" t="s">
        <v>1832</v>
      </c>
      <c r="C637" s="26" t="s">
        <v>5498</v>
      </c>
      <c r="D637" s="288" t="s">
        <v>3961</v>
      </c>
      <c r="E637" s="553" t="s">
        <v>5499</v>
      </c>
    </row>
    <row r="638" spans="1:5" ht="55.2">
      <c r="A638" s="295" t="str">
        <f t="shared" si="9"/>
        <v>If the lab does not use an electronic LIS, answer No to question 2.1, then skip to the Data Management tab, #3.</v>
      </c>
      <c r="B638" s="26" t="s">
        <v>7218</v>
      </c>
      <c r="C638" s="26" t="s">
        <v>7219</v>
      </c>
      <c r="D638" s="288" t="s">
        <v>7220</v>
      </c>
      <c r="E638" s="553" t="s">
        <v>7221</v>
      </c>
    </row>
    <row r="639" spans="1:5" ht="82.8">
      <c r="A639" s="295" t="str">
        <f t="shared" si="9"/>
        <v>The scores for this section reflect the usability of the computer-based LIS and its likely compatibility with AMR surveillance systems, not the quality of the laboratory</v>
      </c>
      <c r="B639" s="26" t="s">
        <v>6883</v>
      </c>
      <c r="C639" s="26" t="s">
        <v>5500</v>
      </c>
      <c r="D639" s="170" t="s">
        <v>3962</v>
      </c>
      <c r="E639" s="553" t="s">
        <v>5501</v>
      </c>
    </row>
    <row r="640" spans="1:5" ht="69">
      <c r="A640" s="295" t="str">
        <f t="shared" si="9"/>
        <v>When exporting data from a LIS for data analysis purposes, including AMR surveillance, it is important that each data field is discrete</v>
      </c>
      <c r="B640" s="26" t="s">
        <v>6884</v>
      </c>
      <c r="C640" s="26" t="s">
        <v>5502</v>
      </c>
      <c r="D640" s="170" t="s">
        <v>3963</v>
      </c>
      <c r="E640" s="553" t="s">
        <v>5503</v>
      </c>
    </row>
    <row r="641" spans="1:5" ht="27.6">
      <c r="A641" s="295" t="str">
        <f t="shared" si="9"/>
        <v>DEMOGRAPHIC DATA FIELDS</v>
      </c>
      <c r="B641" s="26" t="s">
        <v>778</v>
      </c>
      <c r="C641" s="26" t="s">
        <v>2436</v>
      </c>
      <c r="D641" s="288" t="s">
        <v>2915</v>
      </c>
      <c r="E641" s="553" t="s">
        <v>5504</v>
      </c>
    </row>
    <row r="642" spans="1:5" ht="41.4">
      <c r="A642" s="295" t="str">
        <f t="shared" si="9"/>
        <v>Does the laboratory use a computer-based Laboratory Information System (LIS)?</v>
      </c>
      <c r="B642" s="170" t="s">
        <v>1833</v>
      </c>
      <c r="C642" s="26" t="s">
        <v>5505</v>
      </c>
      <c r="D642" s="170" t="s">
        <v>3964</v>
      </c>
      <c r="E642" s="553" t="s">
        <v>5506</v>
      </c>
    </row>
    <row r="643" spans="1:5">
      <c r="A643" s="295" t="str">
        <f t="shared" si="9"/>
        <v>Name of LIS:</v>
      </c>
      <c r="B643" s="170" t="s">
        <v>6722</v>
      </c>
      <c r="C643" s="26" t="s">
        <v>7226</v>
      </c>
      <c r="D643" s="170" t="s">
        <v>7224</v>
      </c>
      <c r="E643" s="553" t="s">
        <v>7225</v>
      </c>
    </row>
    <row r="644" spans="1:5" ht="41.4">
      <c r="A644" s="295" t="str">
        <f t="shared" si="9"/>
        <v>If yes, please record name in comments. PLEASE NOTE: WHONET is not a LIS</v>
      </c>
      <c r="B644" s="26" t="s">
        <v>6885</v>
      </c>
      <c r="C644" s="26" t="s">
        <v>4626</v>
      </c>
      <c r="D644" s="288" t="s">
        <v>3965</v>
      </c>
      <c r="E644" s="553" t="s">
        <v>5507</v>
      </c>
    </row>
    <row r="645" spans="1:5" ht="55.2">
      <c r="A645" s="295" t="str">
        <f t="shared" si="9"/>
        <v>Observe data entry into the LIS. Are individual data fields present for each of the following?</v>
      </c>
      <c r="B645" s="26" t="s">
        <v>703</v>
      </c>
      <c r="C645" s="26" t="s">
        <v>4627</v>
      </c>
      <c r="D645" s="170" t="s">
        <v>3966</v>
      </c>
      <c r="E645" s="553" t="s">
        <v>5508</v>
      </c>
    </row>
    <row r="646" spans="1:5">
      <c r="A646" s="295" t="str">
        <f t="shared" si="9"/>
        <v>Patient Last Name/Surname</v>
      </c>
      <c r="B646" s="26" t="s">
        <v>786</v>
      </c>
      <c r="C646" s="26" t="s">
        <v>2606</v>
      </c>
      <c r="D646" s="288" t="s">
        <v>3967</v>
      </c>
      <c r="E646" s="553" t="s">
        <v>5509</v>
      </c>
    </row>
    <row r="647" spans="1:5">
      <c r="A647" s="295" t="str">
        <f t="shared" si="9"/>
        <v>Patient First Name</v>
      </c>
      <c r="B647" s="26" t="s">
        <v>787</v>
      </c>
      <c r="C647" s="26" t="s">
        <v>2607</v>
      </c>
      <c r="D647" s="288" t="s">
        <v>3029</v>
      </c>
      <c r="E647" s="553" t="s">
        <v>5510</v>
      </c>
    </row>
    <row r="648" spans="1:5">
      <c r="A648" s="295" t="str">
        <f t="shared" si="9"/>
        <v>Patient Identification Number</v>
      </c>
      <c r="B648" s="26" t="s">
        <v>788</v>
      </c>
      <c r="C648" s="26" t="s">
        <v>2608</v>
      </c>
      <c r="D648" s="288" t="s">
        <v>3030</v>
      </c>
      <c r="E648" s="553" t="s">
        <v>5511</v>
      </c>
    </row>
    <row r="649" spans="1:5">
      <c r="A649" s="295" t="str">
        <f t="shared" si="9"/>
        <v>Patient Date of Birth</v>
      </c>
      <c r="B649" s="26" t="s">
        <v>781</v>
      </c>
      <c r="C649" s="26" t="s">
        <v>2609</v>
      </c>
      <c r="D649" s="288" t="s">
        <v>3031</v>
      </c>
      <c r="E649" s="553" t="s">
        <v>5512</v>
      </c>
    </row>
    <row r="650" spans="1:5">
      <c r="A650" s="295" t="str">
        <f t="shared" si="9"/>
        <v>Patient Age</v>
      </c>
      <c r="B650" s="170" t="s">
        <v>782</v>
      </c>
      <c r="C650" s="26" t="s">
        <v>2610</v>
      </c>
      <c r="D650" s="170" t="s">
        <v>3032</v>
      </c>
      <c r="E650" s="553" t="s">
        <v>5513</v>
      </c>
    </row>
    <row r="651" spans="1:5">
      <c r="A651" s="295" t="str">
        <f t="shared" si="9"/>
        <v>Patient Gender</v>
      </c>
      <c r="B651" s="26" t="s">
        <v>784</v>
      </c>
      <c r="C651" s="26" t="s">
        <v>2611</v>
      </c>
      <c r="D651" s="288" t="s">
        <v>3033</v>
      </c>
      <c r="E651" s="553" t="s">
        <v>5514</v>
      </c>
    </row>
    <row r="652" spans="1:5" ht="41.4">
      <c r="A652" s="295" t="str">
        <f t="shared" si="9"/>
        <v>Patient Location (Ward or Unit at the time of specimen collection, e.g., "ICU")</v>
      </c>
      <c r="B652" s="26" t="s">
        <v>1916</v>
      </c>
      <c r="C652" s="26" t="s">
        <v>5515</v>
      </c>
      <c r="D652" s="288" t="s">
        <v>3968</v>
      </c>
      <c r="E652" s="553" t="s">
        <v>5516</v>
      </c>
    </row>
    <row r="653" spans="1:5">
      <c r="A653" s="295" t="str">
        <f t="shared" si="9"/>
        <v>Patient Date of Admission</v>
      </c>
      <c r="B653" s="26" t="s">
        <v>785</v>
      </c>
      <c r="C653" s="26" t="s">
        <v>2612</v>
      </c>
      <c r="D653" s="288" t="s">
        <v>3034</v>
      </c>
      <c r="E653" s="553" t="s">
        <v>5517</v>
      </c>
    </row>
    <row r="654" spans="1:5" ht="27.6">
      <c r="A654" s="295" t="str">
        <f t="shared" si="9"/>
        <v>SPECIMEN DATA FIELDS</v>
      </c>
      <c r="B654" s="26" t="s">
        <v>783</v>
      </c>
      <c r="C654" s="26" t="s">
        <v>5518</v>
      </c>
      <c r="D654" s="288" t="s">
        <v>2916</v>
      </c>
      <c r="E654" s="553" t="s">
        <v>5519</v>
      </c>
    </row>
    <row r="655" spans="1:5" ht="55.2">
      <c r="A655" s="295" t="str">
        <f t="shared" si="9"/>
        <v>Observe data entry into the LIS. Are individual data fields present for each of the following?</v>
      </c>
      <c r="B655" s="26" t="s">
        <v>703</v>
      </c>
      <c r="C655" s="26" t="s">
        <v>4627</v>
      </c>
      <c r="D655" s="170" t="s">
        <v>3969</v>
      </c>
      <c r="E655" s="553" t="s">
        <v>5508</v>
      </c>
    </row>
    <row r="656" spans="1:5">
      <c r="A656" s="295" t="str">
        <f t="shared" si="9"/>
        <v>Specimen identification number</v>
      </c>
      <c r="B656" s="170" t="s">
        <v>704</v>
      </c>
      <c r="C656" s="26" t="s">
        <v>5520</v>
      </c>
      <c r="D656" s="170" t="s">
        <v>3970</v>
      </c>
      <c r="E656" s="553" t="s">
        <v>5521</v>
      </c>
    </row>
    <row r="657" spans="1:5">
      <c r="A657" s="295" t="str">
        <f t="shared" si="9"/>
        <v>Specimen Type (e.g. Wound)</v>
      </c>
      <c r="B657" s="26" t="s">
        <v>792</v>
      </c>
      <c r="C657" s="26" t="s">
        <v>4628</v>
      </c>
      <c r="D657" s="288" t="s">
        <v>3971</v>
      </c>
      <c r="E657" s="553" t="s">
        <v>5522</v>
      </c>
    </row>
    <row r="658" spans="1:5" ht="27.6">
      <c r="A658" s="295" t="str">
        <f t="shared" si="9"/>
        <v>Specimen Source/Body Site (e.g., Arm)</v>
      </c>
      <c r="B658" s="26" t="s">
        <v>6886</v>
      </c>
      <c r="C658" s="26" t="s">
        <v>5523</v>
      </c>
      <c r="D658" s="288" t="s">
        <v>3972</v>
      </c>
      <c r="E658" s="553" t="s">
        <v>5524</v>
      </c>
    </row>
    <row r="659" spans="1:5" ht="27.6">
      <c r="A659" s="295" t="str">
        <f t="shared" si="9"/>
        <v>Additional descriptors (e.g., Left, Right)</v>
      </c>
      <c r="B659" s="26" t="s">
        <v>791</v>
      </c>
      <c r="C659" s="26" t="s">
        <v>5525</v>
      </c>
      <c r="D659" s="288" t="s">
        <v>3973</v>
      </c>
      <c r="E659" s="553" t="s">
        <v>5526</v>
      </c>
    </row>
    <row r="660" spans="1:5">
      <c r="A660" s="295" t="str">
        <f t="shared" si="9"/>
        <v>Date of specimen collection</v>
      </c>
      <c r="B660" s="26" t="s">
        <v>100</v>
      </c>
      <c r="C660" s="26" t="s">
        <v>2613</v>
      </c>
      <c r="D660" s="288" t="s">
        <v>3974</v>
      </c>
      <c r="E660" s="553" t="s">
        <v>5527</v>
      </c>
    </row>
    <row r="661" spans="1:5">
      <c r="A661" s="295" t="str">
        <f t="shared" si="9"/>
        <v>Time of specimen collection</v>
      </c>
      <c r="B661" s="26" t="s">
        <v>101</v>
      </c>
      <c r="C661" s="26" t="s">
        <v>5528</v>
      </c>
      <c r="D661" s="288" t="s">
        <v>3035</v>
      </c>
      <c r="E661" s="553" t="s">
        <v>5529</v>
      </c>
    </row>
    <row r="662" spans="1:5">
      <c r="A662" s="295" t="str">
        <f t="shared" si="9"/>
        <v>Date of specimen receipt</v>
      </c>
      <c r="B662" s="26" t="s">
        <v>104</v>
      </c>
      <c r="C662" s="26" t="s">
        <v>4629</v>
      </c>
      <c r="D662" s="288" t="s">
        <v>3975</v>
      </c>
      <c r="E662" s="553" t="s">
        <v>5530</v>
      </c>
    </row>
    <row r="663" spans="1:5">
      <c r="A663" s="295" t="str">
        <f t="shared" si="9"/>
        <v>Time of specimen receipt</v>
      </c>
      <c r="B663" s="170" t="s">
        <v>105</v>
      </c>
      <c r="C663" s="26" t="s">
        <v>4630</v>
      </c>
      <c r="D663" s="170" t="s">
        <v>3976</v>
      </c>
      <c r="E663" s="553" t="s">
        <v>5531</v>
      </c>
    </row>
    <row r="664" spans="1:5" ht="27.6">
      <c r="A664" s="295" t="str">
        <f t="shared" si="9"/>
        <v>CULTURE OBSERVATION DATA FIELDS</v>
      </c>
      <c r="B664" s="26" t="s">
        <v>1576</v>
      </c>
      <c r="C664" s="26" t="s">
        <v>4631</v>
      </c>
      <c r="D664" s="288" t="s">
        <v>3977</v>
      </c>
      <c r="E664" s="553" t="s">
        <v>5018</v>
      </c>
    </row>
    <row r="665" spans="1:5" ht="55.2">
      <c r="A665" s="295" t="str">
        <f t="shared" si="9"/>
        <v>Observe culture data entry into the LIS. Are individual data fields present for each of the following?</v>
      </c>
      <c r="B665" s="26" t="s">
        <v>1577</v>
      </c>
      <c r="C665" s="26" t="s">
        <v>4632</v>
      </c>
      <c r="D665" s="170" t="s">
        <v>3978</v>
      </c>
      <c r="E665" s="553" t="s">
        <v>5508</v>
      </c>
    </row>
    <row r="666" spans="1:5" ht="27.6">
      <c r="A666" s="295" t="str">
        <f t="shared" si="9"/>
        <v>Gram stain of specimen (e.g., sputum Gram stain)</v>
      </c>
      <c r="B666" s="26" t="s">
        <v>6887</v>
      </c>
      <c r="C666" s="26" t="s">
        <v>4633</v>
      </c>
      <c r="D666" s="288" t="s">
        <v>3979</v>
      </c>
      <c r="E666" s="553" t="s">
        <v>5532</v>
      </c>
    </row>
    <row r="667" spans="1:5" ht="27.6">
      <c r="A667" s="295" t="str">
        <f t="shared" si="9"/>
        <v>Quantity of Epithelial Cells per low power field</v>
      </c>
      <c r="B667" s="26" t="s">
        <v>2368</v>
      </c>
      <c r="C667" s="26" t="s">
        <v>4634</v>
      </c>
      <c r="D667" s="170" t="s">
        <v>3036</v>
      </c>
      <c r="E667" s="553" t="s">
        <v>5533</v>
      </c>
    </row>
    <row r="668" spans="1:5" ht="41.4">
      <c r="A668" s="295" t="str">
        <f t="shared" si="9"/>
        <v>Quantity of PMNs (WBCs) per low power field</v>
      </c>
      <c r="B668" s="26" t="s">
        <v>2369</v>
      </c>
      <c r="C668" s="26" t="s">
        <v>4635</v>
      </c>
      <c r="D668" s="170" t="s">
        <v>7222</v>
      </c>
      <c r="E668" s="553" t="s">
        <v>5534</v>
      </c>
    </row>
    <row r="669" spans="1:5" ht="27.6">
      <c r="A669" s="295" t="str">
        <f t="shared" si="9"/>
        <v>Quantity of bacterial cells per high power field</v>
      </c>
      <c r="B669" s="170" t="s">
        <v>2370</v>
      </c>
      <c r="C669" s="26" t="s">
        <v>4636</v>
      </c>
      <c r="D669" s="170" t="s">
        <v>3037</v>
      </c>
      <c r="E669" s="553" t="s">
        <v>5535</v>
      </c>
    </row>
    <row r="670" spans="1:5" ht="27.6">
      <c r="A670" s="295" t="str">
        <f t="shared" si="9"/>
        <v>Type of bacterial cells (gram-positive cocci, gram-negative bacilli, etc.)</v>
      </c>
      <c r="B670" s="26" t="s">
        <v>6888</v>
      </c>
      <c r="C670" s="26" t="s">
        <v>2614</v>
      </c>
      <c r="D670" s="288" t="s">
        <v>3038</v>
      </c>
      <c r="E670" s="553" t="s">
        <v>5536</v>
      </c>
    </row>
    <row r="671" spans="1:5" ht="41.4">
      <c r="A671" s="295" t="str">
        <f t="shared" si="9"/>
        <v>Description of colony morphologies (e.g. "mucoid lactose-fermenter" or "beta-hemolytic")</v>
      </c>
      <c r="B671" s="26" t="s">
        <v>6889</v>
      </c>
      <c r="C671" s="26" t="s">
        <v>5537</v>
      </c>
      <c r="D671" s="170" t="s">
        <v>3980</v>
      </c>
      <c r="E671" s="553" t="s">
        <v>5538</v>
      </c>
    </row>
    <row r="672" spans="1:5" ht="55.2">
      <c r="A672" s="295" t="str">
        <f t="shared" si="9"/>
        <v>Description of colony quantities (e.g. "1+, 2+, 3+, 4+" or "few, moderate, many")</v>
      </c>
      <c r="B672" s="26" t="s">
        <v>1918</v>
      </c>
      <c r="C672" s="26" t="s">
        <v>5539</v>
      </c>
      <c r="D672" s="288" t="s">
        <v>3981</v>
      </c>
      <c r="E672" s="553" t="s">
        <v>5540</v>
      </c>
    </row>
    <row r="673" spans="1:5" ht="27.6">
      <c r="A673" s="295" t="str">
        <f t="shared" si="9"/>
        <v>Gram stain of bacterial colony</v>
      </c>
      <c r="B673" s="26" t="s">
        <v>1917</v>
      </c>
      <c r="C673" s="26" t="s">
        <v>4637</v>
      </c>
      <c r="D673" s="288" t="s">
        <v>3039</v>
      </c>
      <c r="E673" s="553" t="s">
        <v>5541</v>
      </c>
    </row>
    <row r="674" spans="1:5" ht="41.4">
      <c r="A674" s="295" t="str">
        <f t="shared" ref="A674:A737" si="10">IF(langue=1,B674,IF(langue=2,C674,IF(langue=3,D674,IF(langue=4,E674,F674))))</f>
        <v>Biochemical test results (e.g., "catalase positive") for conventional test methods</v>
      </c>
      <c r="B674" s="26" t="s">
        <v>699</v>
      </c>
      <c r="C674" s="26" t="s">
        <v>2615</v>
      </c>
      <c r="D674" s="288" t="s">
        <v>3982</v>
      </c>
      <c r="E674" s="553" t="s">
        <v>5542</v>
      </c>
    </row>
    <row r="675" spans="1:5">
      <c r="A675" s="295" t="str">
        <f t="shared" si="10"/>
        <v>Organism name</v>
      </c>
      <c r="B675" s="26" t="s">
        <v>1578</v>
      </c>
      <c r="C675" s="26" t="s">
        <v>2616</v>
      </c>
      <c r="D675" s="288" t="s">
        <v>3040</v>
      </c>
      <c r="E675" s="553" t="s">
        <v>5543</v>
      </c>
    </row>
    <row r="676" spans="1:5" ht="41.4">
      <c r="A676" s="295" t="str">
        <f t="shared" si="10"/>
        <v>Isolate number (e.g., when more than one pathogen is encountered in a culture: isolate #1, isolate #2)</v>
      </c>
      <c r="B676" s="26" t="s">
        <v>1920</v>
      </c>
      <c r="C676" s="362" t="s">
        <v>5544</v>
      </c>
      <c r="D676" s="288" t="s">
        <v>3983</v>
      </c>
      <c r="E676" s="553" t="s">
        <v>5545</v>
      </c>
    </row>
    <row r="677" spans="1:5" ht="27.6">
      <c r="A677" s="295" t="str">
        <f t="shared" si="10"/>
        <v>AST DATA FIELDS</v>
      </c>
      <c r="B677" s="26" t="s">
        <v>707</v>
      </c>
      <c r="C677" s="26" t="s">
        <v>5546</v>
      </c>
      <c r="D677" s="288" t="s">
        <v>3984</v>
      </c>
      <c r="E677" s="553" t="s">
        <v>6833</v>
      </c>
    </row>
    <row r="678" spans="1:5" ht="55.2">
      <c r="A678" s="295" t="str">
        <f t="shared" si="10"/>
        <v>Can the LIS record the AST method used to obtain each individual antibiotic result (e.g., Etest vs. Vitek vs. disk)?</v>
      </c>
      <c r="B678" s="26" t="s">
        <v>2602</v>
      </c>
      <c r="C678" s="26" t="s">
        <v>5547</v>
      </c>
      <c r="D678" s="170" t="s">
        <v>3985</v>
      </c>
      <c r="E678" s="553" t="s">
        <v>5548</v>
      </c>
    </row>
    <row r="679" spans="1:5" ht="55.2">
      <c r="A679" s="295" t="str">
        <f t="shared" si="10"/>
        <v>Observe data entry into the LIS. Are individual data fields present for each of the following?</v>
      </c>
      <c r="B679" s="26" t="s">
        <v>703</v>
      </c>
      <c r="C679" s="26" t="s">
        <v>4627</v>
      </c>
      <c r="D679" s="170" t="s">
        <v>3969</v>
      </c>
      <c r="E679" s="553" t="s">
        <v>5508</v>
      </c>
    </row>
    <row r="680" spans="1:5">
      <c r="A680" s="295" t="str">
        <f t="shared" si="10"/>
        <v>Disk diffusion zone sizes</v>
      </c>
      <c r="B680" s="26" t="s">
        <v>694</v>
      </c>
      <c r="C680" s="26" t="s">
        <v>5549</v>
      </c>
      <c r="D680" s="288" t="s">
        <v>3986</v>
      </c>
      <c r="E680" s="553" t="s">
        <v>5550</v>
      </c>
    </row>
    <row r="681" spans="1:5" ht="27.6">
      <c r="A681" s="295" t="str">
        <f t="shared" si="10"/>
        <v>Disk diffusion interpretation (S/I/R)</v>
      </c>
      <c r="B681" s="26" t="s">
        <v>695</v>
      </c>
      <c r="C681" s="26" t="s">
        <v>5551</v>
      </c>
      <c r="D681" s="288" t="s">
        <v>3987</v>
      </c>
      <c r="E681" s="553" t="s">
        <v>5552</v>
      </c>
    </row>
    <row r="682" spans="1:5">
      <c r="A682" s="295" t="str">
        <f t="shared" si="10"/>
        <v>MIC values</v>
      </c>
      <c r="B682" s="26" t="s">
        <v>696</v>
      </c>
      <c r="C682" s="26" t="s">
        <v>5553</v>
      </c>
      <c r="D682" s="288" t="s">
        <v>3988</v>
      </c>
      <c r="E682" s="553" t="s">
        <v>5554</v>
      </c>
    </row>
    <row r="683" spans="1:5">
      <c r="A683" s="295" t="str">
        <f t="shared" si="10"/>
        <v>MIC interpretation (S/I/R)</v>
      </c>
      <c r="B683" s="26" t="s">
        <v>697</v>
      </c>
      <c r="C683" s="26" t="s">
        <v>5555</v>
      </c>
      <c r="D683" s="288" t="s">
        <v>3989</v>
      </c>
      <c r="E683" s="553" t="s">
        <v>5556</v>
      </c>
    </row>
    <row r="684" spans="1:5" ht="27.6">
      <c r="A684" s="295" t="str">
        <f t="shared" si="10"/>
        <v>Can the LIS record MIC values to three decimal places (e.g., 0.016)?</v>
      </c>
      <c r="B684" s="26" t="s">
        <v>6890</v>
      </c>
      <c r="C684" s="26" t="s">
        <v>5557</v>
      </c>
      <c r="D684" s="288" t="s">
        <v>3990</v>
      </c>
      <c r="E684" s="553" t="s">
        <v>5558</v>
      </c>
    </row>
    <row r="685" spans="1:5" ht="69">
      <c r="A685" s="295" t="str">
        <f t="shared" si="10"/>
        <v xml:space="preserve">Can the LIS suppress (hide) an individual antibiotic result from the patient report without deleting it from the database (for cascade reporting)? </v>
      </c>
      <c r="B685" s="26" t="s">
        <v>706</v>
      </c>
      <c r="C685" s="26" t="s">
        <v>5559</v>
      </c>
      <c r="D685" s="170" t="s">
        <v>3991</v>
      </c>
      <c r="E685" s="553" t="s">
        <v>5560</v>
      </c>
    </row>
    <row r="686" spans="1:5" ht="55.2">
      <c r="A686" s="295" t="str">
        <f t="shared" si="10"/>
        <v>Does the LIS software automatically interpret zone sizes into Susceptible, Intermediate, Resistant?</v>
      </c>
      <c r="B686" s="26" t="s">
        <v>2603</v>
      </c>
      <c r="C686" s="26" t="s">
        <v>5561</v>
      </c>
      <c r="D686" s="288" t="s">
        <v>3992</v>
      </c>
      <c r="E686" s="553" t="s">
        <v>5562</v>
      </c>
    </row>
    <row r="687" spans="1:5" ht="41.4">
      <c r="A687" s="295" t="str">
        <f t="shared" si="10"/>
        <v>Does the LIS software automatically interpret MICs into Susceptible, Intermediate, Resistant?</v>
      </c>
      <c r="B687" s="26" t="s">
        <v>2604</v>
      </c>
      <c r="C687" s="26" t="s">
        <v>4638</v>
      </c>
      <c r="D687" s="288" t="s">
        <v>3993</v>
      </c>
      <c r="E687" s="553" t="s">
        <v>5563</v>
      </c>
    </row>
    <row r="688" spans="1:5" ht="55.2">
      <c r="A688" s="295" t="str">
        <f t="shared" si="10"/>
        <v>If the LIS software automatically interprets zone sizes or MICs, are the breakpoints updated annually?</v>
      </c>
      <c r="B688" s="26" t="s">
        <v>2090</v>
      </c>
      <c r="C688" s="26" t="s">
        <v>5564</v>
      </c>
      <c r="D688" s="288" t="s">
        <v>3994</v>
      </c>
      <c r="E688" s="553" t="s">
        <v>5565</v>
      </c>
    </row>
    <row r="689" spans="1:5" ht="55.2">
      <c r="A689" s="295" t="str">
        <f t="shared" si="10"/>
        <v xml:space="preserve">If the LIS software automatically interprets zone sizes or MICs, are the breakpoints up to date today? </v>
      </c>
      <c r="B689" s="26" t="s">
        <v>2371</v>
      </c>
      <c r="C689" s="26" t="s">
        <v>5566</v>
      </c>
      <c r="D689" s="288" t="s">
        <v>3995</v>
      </c>
      <c r="E689" s="553" t="s">
        <v>5567</v>
      </c>
    </row>
    <row r="690" spans="1:5" ht="27.6">
      <c r="A690" s="295" t="str">
        <f t="shared" si="10"/>
        <v>REPORTS AND DATA TRANSFER CAPABILITIES</v>
      </c>
      <c r="B690" s="26" t="s">
        <v>740</v>
      </c>
      <c r="C690" s="26" t="s">
        <v>5568</v>
      </c>
      <c r="D690" s="288" t="s">
        <v>3710</v>
      </c>
      <c r="E690" s="553" t="s">
        <v>5569</v>
      </c>
    </row>
    <row r="691" spans="1:5" ht="69">
      <c r="A691" s="295" t="str">
        <f t="shared" si="10"/>
        <v>(An “interface” is an electronic connection that allows information to flow automatically between different computer systems and software applications)</v>
      </c>
      <c r="B691" s="26" t="s">
        <v>2605</v>
      </c>
      <c r="C691" s="26" t="s">
        <v>5570</v>
      </c>
      <c r="D691" s="288" t="s">
        <v>3041</v>
      </c>
      <c r="E691" s="553" t="s">
        <v>5571</v>
      </c>
    </row>
    <row r="692" spans="1:5" ht="55.2">
      <c r="A692" s="295" t="str">
        <f t="shared" si="10"/>
        <v>Can the LIS de-duplicate data based on select criteria (e.g., patient ID, organism, specimen date)?</v>
      </c>
      <c r="B692" s="26" t="s">
        <v>708</v>
      </c>
      <c r="C692" s="26" t="s">
        <v>4639</v>
      </c>
      <c r="D692" s="170" t="s">
        <v>3996</v>
      </c>
      <c r="E692" s="553" t="s">
        <v>5572</v>
      </c>
    </row>
    <row r="693" spans="1:5" ht="27.6">
      <c r="A693" s="295" t="str">
        <f t="shared" si="10"/>
        <v>Can the LIS produce a cumulative antibiogram report?</v>
      </c>
      <c r="B693" s="26" t="s">
        <v>709</v>
      </c>
      <c r="C693" s="26" t="s">
        <v>4640</v>
      </c>
      <c r="D693" s="288" t="s">
        <v>3997</v>
      </c>
      <c r="E693" s="553" t="s">
        <v>5573</v>
      </c>
    </row>
    <row r="694" spans="1:5" ht="41.4">
      <c r="A694" s="295" t="str">
        <f t="shared" si="10"/>
        <v>Can the LIS interface with automated AST instruments (e.g., Vitek, Phoenix, SIRScan, BIOMIC)?</v>
      </c>
      <c r="B694" s="26" t="s">
        <v>711</v>
      </c>
      <c r="C694" s="26" t="s">
        <v>4641</v>
      </c>
      <c r="D694" s="288" t="s">
        <v>3998</v>
      </c>
      <c r="E694" s="553" t="s">
        <v>5574</v>
      </c>
    </row>
    <row r="695" spans="1:5" ht="41.4">
      <c r="A695" s="295" t="str">
        <f t="shared" si="10"/>
        <v>Can the LIS interface with the Hospital Information System (HIS)?</v>
      </c>
      <c r="B695" s="26" t="s">
        <v>710</v>
      </c>
      <c r="C695" s="26" t="s">
        <v>5575</v>
      </c>
      <c r="D695" s="288" t="s">
        <v>3999</v>
      </c>
      <c r="E695" s="553" t="s">
        <v>5576</v>
      </c>
    </row>
    <row r="696" spans="1:5" ht="27.6">
      <c r="A696" s="295" t="str">
        <f t="shared" si="10"/>
        <v>Can the LIS export line lists of data to .txt or .csv files?</v>
      </c>
      <c r="B696" s="26" t="s">
        <v>795</v>
      </c>
      <c r="C696" s="26" t="s">
        <v>4642</v>
      </c>
      <c r="D696" s="288" t="s">
        <v>4000</v>
      </c>
      <c r="E696" s="553" t="s">
        <v>5577</v>
      </c>
    </row>
    <row r="697" spans="1:5">
      <c r="A697" s="295" t="str">
        <f t="shared" si="10"/>
        <v>INTERFACE CONNECTIVITY</v>
      </c>
      <c r="B697" s="26" t="s">
        <v>777</v>
      </c>
      <c r="C697" s="26" t="s">
        <v>4553</v>
      </c>
      <c r="D697" s="288" t="s">
        <v>2917</v>
      </c>
      <c r="E697" s="553" t="s">
        <v>5021</v>
      </c>
    </row>
    <row r="698" spans="1:5" ht="69">
      <c r="A698" s="295" t="str">
        <f t="shared" si="10"/>
        <v>(An “interface” is an electronic connection that allows information to flow automatically between different computer systems and software applications)</v>
      </c>
      <c r="B698" s="26" t="s">
        <v>2605</v>
      </c>
      <c r="C698" s="26" t="s">
        <v>2617</v>
      </c>
      <c r="D698" s="288" t="s">
        <v>3041</v>
      </c>
      <c r="E698" s="553" t="s">
        <v>5578</v>
      </c>
    </row>
    <row r="699" spans="1:5" ht="55.2">
      <c r="A699" s="295" t="str">
        <f t="shared" si="10"/>
        <v>If the lab uses an automated AST instrument, describe the data flow between the LIS and the instrument software.</v>
      </c>
      <c r="B699" s="26" t="s">
        <v>94</v>
      </c>
      <c r="C699" s="26" t="s">
        <v>4643</v>
      </c>
      <c r="D699" s="288" t="s">
        <v>4001</v>
      </c>
      <c r="E699" s="553" t="s">
        <v>5579</v>
      </c>
    </row>
    <row r="700" spans="1:5" ht="27.6">
      <c r="A700" s="295" t="str">
        <f t="shared" si="10"/>
        <v>1: Systems are not currently interfaced</v>
      </c>
      <c r="B700" s="26" t="s">
        <v>276</v>
      </c>
      <c r="C700" s="26" t="s">
        <v>2618</v>
      </c>
      <c r="D700" s="288" t="s">
        <v>7223</v>
      </c>
      <c r="E700" s="553" t="s">
        <v>5580</v>
      </c>
    </row>
    <row r="701" spans="1:5" ht="110.4">
      <c r="A701" s="295" t="str">
        <f t="shared" si="10"/>
        <v>2: Bidirectional: Patient information (e.g., medical record number, specimen number, specimen type) flows from the LIS into the instrument software, AND results (ID and AST) flow from the instrument software back into the LIS.</v>
      </c>
      <c r="B701" s="26" t="s">
        <v>277</v>
      </c>
      <c r="C701" s="26" t="s">
        <v>5581</v>
      </c>
      <c r="D701" s="288" t="s">
        <v>4002</v>
      </c>
      <c r="E701" s="553" t="s">
        <v>5582</v>
      </c>
    </row>
    <row r="702" spans="1:5" ht="55.2">
      <c r="A702" s="295" t="str">
        <f t="shared" si="10"/>
        <v>3: Uni-directional: Patient information flows from the LIS into the instrument software, but results do not transmit back into the LIS</v>
      </c>
      <c r="B702" s="26" t="s">
        <v>278</v>
      </c>
      <c r="C702" s="26" t="s">
        <v>4644</v>
      </c>
      <c r="D702" s="288" t="s">
        <v>4003</v>
      </c>
      <c r="E702" s="553" t="s">
        <v>5583</v>
      </c>
    </row>
    <row r="703" spans="1:5" ht="82.8">
      <c r="A703" s="295" t="str">
        <f t="shared" si="10"/>
        <v>4: Uni-directional: Results transmit from the instrument software into the LIS, but patient information cannot flow from the LIS into the instrument software.</v>
      </c>
      <c r="B703" s="94" t="s">
        <v>279</v>
      </c>
      <c r="C703" s="94" t="s">
        <v>4645</v>
      </c>
      <c r="D703" s="293" t="s">
        <v>4004</v>
      </c>
      <c r="E703" s="553" t="s">
        <v>5584</v>
      </c>
    </row>
    <row r="704" spans="1:5">
      <c r="A704" s="295" t="str">
        <f t="shared" si="10"/>
        <v>NA: no automated instruments</v>
      </c>
      <c r="B704" s="26" t="s">
        <v>1921</v>
      </c>
      <c r="C704" s="26" t="s">
        <v>2619</v>
      </c>
      <c r="D704" s="288" t="s">
        <v>3042</v>
      </c>
      <c r="E704" s="553" t="s">
        <v>5585</v>
      </c>
    </row>
    <row r="705" spans="1:5" ht="41.4">
      <c r="A705" s="295" t="str">
        <f t="shared" si="10"/>
        <v xml:space="preserve">Does the hospital use a Hospital Information System (HIS) or Electronic Medical Record (EMR)? </v>
      </c>
      <c r="B705" s="26" t="s">
        <v>732</v>
      </c>
      <c r="C705" s="26" t="s">
        <v>5586</v>
      </c>
      <c r="D705" s="288" t="s">
        <v>4005</v>
      </c>
      <c r="E705" s="553" t="s">
        <v>5587</v>
      </c>
    </row>
    <row r="706" spans="1:5" ht="27.6">
      <c r="A706" s="295" t="str">
        <f t="shared" si="10"/>
        <v>If yes, please record system name in comments</v>
      </c>
      <c r="B706" s="26" t="s">
        <v>96</v>
      </c>
      <c r="C706" s="26" t="s">
        <v>2620</v>
      </c>
      <c r="D706" s="288" t="s">
        <v>4006</v>
      </c>
      <c r="E706" s="553" t="s">
        <v>5588</v>
      </c>
    </row>
    <row r="707" spans="1:5" ht="41.4">
      <c r="A707" s="295" t="str">
        <f t="shared" si="10"/>
        <v>If the LIS and HIS/EMR are interfaced, describe the data flow between the LIS and the HIS/EMR</v>
      </c>
      <c r="B707" s="26" t="s">
        <v>1625</v>
      </c>
      <c r="C707" s="26" t="s">
        <v>5589</v>
      </c>
      <c r="D707" s="288" t="s">
        <v>4007</v>
      </c>
      <c r="E707" s="553" t="s">
        <v>5590</v>
      </c>
    </row>
    <row r="708" spans="1:5">
      <c r="A708" s="295" t="str">
        <f t="shared" si="10"/>
        <v>1: Systems are not interfaced</v>
      </c>
      <c r="B708" s="26" t="s">
        <v>95</v>
      </c>
      <c r="C708" s="26" t="s">
        <v>2621</v>
      </c>
      <c r="D708" s="288" t="s">
        <v>3043</v>
      </c>
      <c r="E708" s="553" t="s">
        <v>5591</v>
      </c>
    </row>
    <row r="709" spans="1:5" ht="96.6">
      <c r="A709" s="295" t="str">
        <f t="shared" si="10"/>
        <v xml:space="preserve">2: Bidirectional: Patient information (e.g., demographics, lab orders) flows from the HIS into the LIS, AND patient microbiology (ID/AST) results flow from the LIS back into the HIS. </v>
      </c>
      <c r="B709" s="26" t="s">
        <v>280</v>
      </c>
      <c r="C709" s="362" t="s">
        <v>5592</v>
      </c>
      <c r="D709" s="288" t="s">
        <v>4008</v>
      </c>
      <c r="E709" s="553" t="s">
        <v>5593</v>
      </c>
    </row>
    <row r="710" spans="1:5" ht="69">
      <c r="A710" s="295" t="str">
        <f t="shared" si="10"/>
        <v xml:space="preserve">3: Uni-directional: Patient demographics transmit from the HIS into the LIS, but patient results do not transmit back into the HIS </v>
      </c>
      <c r="B710" s="26" t="s">
        <v>281</v>
      </c>
      <c r="C710" s="26" t="s">
        <v>5594</v>
      </c>
      <c r="D710" s="288" t="s">
        <v>4009</v>
      </c>
      <c r="E710" s="553" t="s">
        <v>5595</v>
      </c>
    </row>
    <row r="711" spans="1:5" ht="69">
      <c r="A711" s="295" t="str">
        <f t="shared" si="10"/>
        <v xml:space="preserve">4: Uni-directional: Patient results transmit from the LIS into the HIS, but patient demographics cannot transmit from the HIS into the LIS. </v>
      </c>
      <c r="B711" s="26" t="s">
        <v>282</v>
      </c>
      <c r="C711" s="26" t="s">
        <v>4646</v>
      </c>
      <c r="D711" s="288" t="s">
        <v>4010</v>
      </c>
      <c r="E711" s="553" t="s">
        <v>5596</v>
      </c>
    </row>
    <row r="712" spans="1:5">
      <c r="A712" s="295" t="str">
        <f t="shared" si="10"/>
        <v xml:space="preserve">NA: no LIS or no HIS </v>
      </c>
      <c r="B712" s="8" t="s">
        <v>283</v>
      </c>
      <c r="C712" s="8" t="s">
        <v>5597</v>
      </c>
      <c r="D712" s="290" t="s">
        <v>4011</v>
      </c>
      <c r="E712" s="553" t="s">
        <v>5598</v>
      </c>
    </row>
    <row r="713" spans="1:5">
      <c r="A713" s="295" t="str">
        <f t="shared" si="10"/>
        <v>3- DATA MANAGEMENT</v>
      </c>
      <c r="B713" s="26" t="s">
        <v>917</v>
      </c>
      <c r="C713" s="26" t="s">
        <v>2438</v>
      </c>
      <c r="D713" s="288" t="s">
        <v>2918</v>
      </c>
      <c r="E713" s="553" t="s">
        <v>5599</v>
      </c>
    </row>
    <row r="714" spans="1:5" ht="55.2">
      <c r="A714" s="295" t="str">
        <f t="shared" si="10"/>
        <v>Please note: all questions refer only to clinical patient specimens, NOT to research specimens</v>
      </c>
      <c r="B714" s="26" t="s">
        <v>28</v>
      </c>
      <c r="C714" s="26" t="s">
        <v>4647</v>
      </c>
      <c r="D714" s="288" t="s">
        <v>4012</v>
      </c>
      <c r="E714" s="553" t="s">
        <v>5600</v>
      </c>
    </row>
    <row r="715" spans="1:5" ht="27.6">
      <c r="A715" s="295" t="str">
        <f t="shared" si="10"/>
        <v>PATIENT AND SPECIMEN IDENTIFICATION</v>
      </c>
      <c r="B715" s="26" t="s">
        <v>665</v>
      </c>
      <c r="C715" s="26" t="s">
        <v>2439</v>
      </c>
      <c r="D715" s="288" t="s">
        <v>2919</v>
      </c>
      <c r="E715" s="553" t="s">
        <v>5601</v>
      </c>
    </row>
    <row r="716" spans="1:5" ht="41.4">
      <c r="A716" s="295" t="str">
        <f t="shared" si="10"/>
        <v>Are inpatients assigned a unique patient ID number upon admission to the hospital?</v>
      </c>
      <c r="B716" s="26" t="s">
        <v>687</v>
      </c>
      <c r="C716" s="26" t="s">
        <v>2626</v>
      </c>
      <c r="D716" s="288" t="s">
        <v>4013</v>
      </c>
      <c r="E716" s="553" t="s">
        <v>5602</v>
      </c>
    </row>
    <row r="717" spans="1:5" ht="55.2">
      <c r="A717" s="295" t="str">
        <f t="shared" si="10"/>
        <v>Are outpatients assigned a unique patient ID number upon registration at the clinic?</v>
      </c>
      <c r="B717" s="26" t="s">
        <v>688</v>
      </c>
      <c r="C717" s="26" t="s">
        <v>2627</v>
      </c>
      <c r="D717" s="288" t="s">
        <v>4014</v>
      </c>
      <c r="E717" s="553" t="s">
        <v>5603</v>
      </c>
    </row>
    <row r="718" spans="1:5" ht="69">
      <c r="A718" s="295" t="str">
        <f t="shared" si="10"/>
        <v>Are patient ID numbers assigned in such a way that no two patients are given the same number in the course of one year?</v>
      </c>
      <c r="B718" s="26" t="s">
        <v>1923</v>
      </c>
      <c r="C718" s="26" t="s">
        <v>2628</v>
      </c>
      <c r="D718" s="170" t="s">
        <v>4015</v>
      </c>
      <c r="E718" s="553" t="s">
        <v>5604</v>
      </c>
    </row>
    <row r="719" spans="1:5" ht="41.4">
      <c r="A719" s="295" t="str">
        <f t="shared" si="10"/>
        <v>Do patients retain the same patient ID number each time they are admitted to the hospital?</v>
      </c>
      <c r="B719" s="26" t="s">
        <v>1924</v>
      </c>
      <c r="C719" s="26" t="s">
        <v>2629</v>
      </c>
      <c r="D719" s="288" t="s">
        <v>4016</v>
      </c>
      <c r="E719" s="553" t="s">
        <v>5605</v>
      </c>
    </row>
    <row r="720" spans="1:5" ht="55.2">
      <c r="A720" s="295" t="str">
        <f t="shared" si="10"/>
        <v>Does the laboratory use the same patient ID numbers assigned by the hospital and/or clinics?</v>
      </c>
      <c r="B720" s="26" t="s">
        <v>86</v>
      </c>
      <c r="C720" s="26" t="s">
        <v>2630</v>
      </c>
      <c r="D720" s="288" t="s">
        <v>4017</v>
      </c>
      <c r="E720" s="553" t="s">
        <v>5606</v>
      </c>
    </row>
    <row r="721" spans="1:5" ht="41.4">
      <c r="A721" s="295" t="str">
        <f t="shared" si="10"/>
        <v>Does the laboratory assign a unique specimen ID number to each specimen received in the lab?</v>
      </c>
      <c r="B721" s="26" t="s">
        <v>689</v>
      </c>
      <c r="C721" s="26" t="s">
        <v>2631</v>
      </c>
      <c r="D721" s="288" t="s">
        <v>4018</v>
      </c>
      <c r="E721" s="553" t="s">
        <v>5607</v>
      </c>
    </row>
    <row r="722" spans="1:5" ht="55.2">
      <c r="A722" s="295" t="str">
        <f t="shared" si="10"/>
        <v>Are specimen numbers assigned in such a way that no two specimens are given the same number during one year?</v>
      </c>
      <c r="B722" s="26" t="s">
        <v>1922</v>
      </c>
      <c r="C722" s="26" t="s">
        <v>4648</v>
      </c>
      <c r="D722" s="288" t="s">
        <v>4019</v>
      </c>
      <c r="E722" s="553" t="s">
        <v>5608</v>
      </c>
    </row>
    <row r="723" spans="1:5" ht="27.6">
      <c r="A723" s="295" t="str">
        <f t="shared" si="10"/>
        <v>SPECIMEN REQUISITION FORM</v>
      </c>
      <c r="B723" s="26" t="s">
        <v>797</v>
      </c>
      <c r="C723" s="26" t="s">
        <v>5609</v>
      </c>
      <c r="D723" s="288" t="s">
        <v>2920</v>
      </c>
      <c r="E723" s="553" t="s">
        <v>5024</v>
      </c>
    </row>
    <row r="724" spans="1:5" ht="41.4">
      <c r="A724" s="295" t="str">
        <f t="shared" si="10"/>
        <v>Review the specimen requisition form. Does it contain each of the following data fields?</v>
      </c>
      <c r="B724" s="26" t="s">
        <v>796</v>
      </c>
      <c r="C724" s="26" t="s">
        <v>2632</v>
      </c>
      <c r="D724" s="288" t="s">
        <v>4020</v>
      </c>
      <c r="E724" s="553" t="s">
        <v>5610</v>
      </c>
    </row>
    <row r="725" spans="1:5">
      <c r="A725" s="295" t="str">
        <f t="shared" si="10"/>
        <v>Patient Name</v>
      </c>
      <c r="B725" s="26" t="s">
        <v>690</v>
      </c>
      <c r="C725" s="26" t="s">
        <v>2633</v>
      </c>
      <c r="D725" s="288" t="s">
        <v>3029</v>
      </c>
      <c r="E725" s="553" t="s">
        <v>5611</v>
      </c>
    </row>
    <row r="726" spans="1:5">
      <c r="A726" s="295" t="str">
        <f t="shared" si="10"/>
        <v>Patient Identification Number</v>
      </c>
      <c r="B726" s="26" t="s">
        <v>788</v>
      </c>
      <c r="C726" s="26" t="s">
        <v>2608</v>
      </c>
      <c r="D726" s="288" t="s">
        <v>3030</v>
      </c>
      <c r="E726" s="553" t="s">
        <v>5511</v>
      </c>
    </row>
    <row r="727" spans="1:5">
      <c r="A727" s="295" t="str">
        <f t="shared" si="10"/>
        <v>Patient Date of Birth or Age</v>
      </c>
      <c r="B727" s="26" t="s">
        <v>103</v>
      </c>
      <c r="C727" s="26" t="s">
        <v>4649</v>
      </c>
      <c r="D727" s="288" t="s">
        <v>3044</v>
      </c>
      <c r="E727" s="553" t="s">
        <v>5612</v>
      </c>
    </row>
    <row r="728" spans="1:5" ht="41.4">
      <c r="A728" s="295" t="str">
        <f t="shared" si="10"/>
        <v>Patient Location (Ward or unit at time of specimen collection, e.g., "ICU")</v>
      </c>
      <c r="B728" s="26" t="s">
        <v>789</v>
      </c>
      <c r="C728" s="26" t="s">
        <v>2634</v>
      </c>
      <c r="D728" s="288" t="s">
        <v>3968</v>
      </c>
      <c r="E728" s="553" t="s">
        <v>5613</v>
      </c>
    </row>
    <row r="729" spans="1:5">
      <c r="A729" s="295" t="str">
        <f t="shared" si="10"/>
        <v>Specimen Type (e.g., Wound)</v>
      </c>
      <c r="B729" s="26" t="s">
        <v>6891</v>
      </c>
      <c r="C729" s="26" t="s">
        <v>4628</v>
      </c>
      <c r="D729" s="288" t="s">
        <v>3971</v>
      </c>
      <c r="E729" s="553" t="s">
        <v>5522</v>
      </c>
    </row>
    <row r="730" spans="1:5" ht="27.6">
      <c r="A730" s="295" t="str">
        <f t="shared" si="10"/>
        <v>Specimen Source/Body Site (e.g., Arm)</v>
      </c>
      <c r="B730" s="26" t="s">
        <v>6886</v>
      </c>
      <c r="C730" s="26" t="s">
        <v>5614</v>
      </c>
      <c r="D730" s="288" t="s">
        <v>4021</v>
      </c>
      <c r="E730" s="553" t="s">
        <v>6834</v>
      </c>
    </row>
    <row r="731" spans="1:5">
      <c r="A731" s="295" t="str">
        <f t="shared" si="10"/>
        <v>Date of specimen collection</v>
      </c>
      <c r="B731" s="26" t="s">
        <v>100</v>
      </c>
      <c r="C731" s="26" t="s">
        <v>2613</v>
      </c>
      <c r="D731" s="288" t="s">
        <v>3974</v>
      </c>
      <c r="E731" s="553" t="s">
        <v>5616</v>
      </c>
    </row>
    <row r="732" spans="1:5">
      <c r="A732" s="295" t="str">
        <f t="shared" si="10"/>
        <v>Time of specimen collection</v>
      </c>
      <c r="B732" s="26" t="s">
        <v>101</v>
      </c>
      <c r="C732" s="26" t="s">
        <v>4651</v>
      </c>
      <c r="D732" s="288" t="s">
        <v>4022</v>
      </c>
      <c r="E732" s="553" t="s">
        <v>5617</v>
      </c>
    </row>
    <row r="733" spans="1:5" ht="27.6">
      <c r="A733" s="295" t="str">
        <f t="shared" si="10"/>
        <v>Test order (e.g., culture &amp; AST)</v>
      </c>
      <c r="B733" s="26" t="s">
        <v>6892</v>
      </c>
      <c r="C733" s="26" t="s">
        <v>4652</v>
      </c>
      <c r="D733" s="170" t="s">
        <v>4023</v>
      </c>
      <c r="E733" s="553" t="s">
        <v>5618</v>
      </c>
    </row>
    <row r="734" spans="1:5" ht="27.6">
      <c r="A734" s="295" t="str">
        <f t="shared" si="10"/>
        <v>Name of physician ordering the test</v>
      </c>
      <c r="B734" s="26" t="s">
        <v>794</v>
      </c>
      <c r="C734" s="26" t="s">
        <v>4653</v>
      </c>
      <c r="D734" s="288" t="s">
        <v>3045</v>
      </c>
      <c r="E734" s="553" t="s">
        <v>5619</v>
      </c>
    </row>
    <row r="735" spans="1:5" ht="27.6">
      <c r="A735" s="295" t="str">
        <f t="shared" si="10"/>
        <v>Name or initials of person collecting specimen</v>
      </c>
      <c r="B735" s="26" t="s">
        <v>2622</v>
      </c>
      <c r="C735" s="26" t="s">
        <v>5620</v>
      </c>
      <c r="D735" s="288" t="s">
        <v>3046</v>
      </c>
      <c r="E735" s="553" t="s">
        <v>5621</v>
      </c>
    </row>
    <row r="736" spans="1:5">
      <c r="A736" s="295" t="str">
        <f t="shared" si="10"/>
        <v>ORDER ENTRY</v>
      </c>
      <c r="B736" s="26" t="s">
        <v>692</v>
      </c>
      <c r="C736" s="26" t="s">
        <v>4554</v>
      </c>
      <c r="D736" s="170" t="s">
        <v>3711</v>
      </c>
      <c r="E736" s="553" t="s">
        <v>5622</v>
      </c>
    </row>
    <row r="737" spans="1:5" ht="69">
      <c r="A737" s="295" t="str">
        <f t="shared" si="10"/>
        <v>Review the process of specimen receiving/order entry. Are each of the following variables captured in the logbook or computer system?</v>
      </c>
      <c r="B737" s="26" t="s">
        <v>798</v>
      </c>
      <c r="C737" s="26" t="s">
        <v>4654</v>
      </c>
      <c r="D737" s="170" t="s">
        <v>4024</v>
      </c>
      <c r="E737" s="553" t="s">
        <v>5623</v>
      </c>
    </row>
    <row r="738" spans="1:5">
      <c r="A738" s="295" t="str">
        <f t="shared" ref="A738:A801" si="11">IF(langue=1,B738,IF(langue=2,C738,IF(langue=3,D738,IF(langue=4,E738,F738))))</f>
        <v>Patient Name</v>
      </c>
      <c r="B738" s="26" t="s">
        <v>690</v>
      </c>
      <c r="C738" s="26" t="s">
        <v>2633</v>
      </c>
      <c r="D738" s="288" t="s">
        <v>3029</v>
      </c>
      <c r="E738" s="553" t="s">
        <v>5611</v>
      </c>
    </row>
    <row r="739" spans="1:5">
      <c r="A739" s="295" t="str">
        <f t="shared" si="11"/>
        <v>Patient Identification Number</v>
      </c>
      <c r="B739" s="26" t="s">
        <v>788</v>
      </c>
      <c r="C739" s="26" t="s">
        <v>2608</v>
      </c>
      <c r="D739" s="288" t="s">
        <v>3030</v>
      </c>
      <c r="E739" s="553" t="s">
        <v>5511</v>
      </c>
    </row>
    <row r="740" spans="1:5">
      <c r="A740" s="295" t="str">
        <f t="shared" si="11"/>
        <v>Patient Date of Birth or Age</v>
      </c>
      <c r="B740" s="26" t="s">
        <v>103</v>
      </c>
      <c r="C740" s="26" t="s">
        <v>4649</v>
      </c>
      <c r="D740" s="288" t="s">
        <v>3044</v>
      </c>
      <c r="E740" s="553" t="s">
        <v>5612</v>
      </c>
    </row>
    <row r="741" spans="1:5" ht="41.4">
      <c r="A741" s="295" t="str">
        <f t="shared" si="11"/>
        <v>Patient Location (Ward or unit at time of specimen collection, e.g., "ICU")</v>
      </c>
      <c r="B741" s="26" t="s">
        <v>789</v>
      </c>
      <c r="C741" s="26" t="s">
        <v>2634</v>
      </c>
      <c r="D741" s="288" t="s">
        <v>4025</v>
      </c>
      <c r="E741" s="553" t="s">
        <v>5613</v>
      </c>
    </row>
    <row r="742" spans="1:5">
      <c r="A742" s="295" t="str">
        <f t="shared" si="11"/>
        <v>Specimen Type (e.g., Wound)</v>
      </c>
      <c r="B742" s="26" t="s">
        <v>6891</v>
      </c>
      <c r="C742" s="26" t="s">
        <v>4628</v>
      </c>
      <c r="D742" s="288" t="s">
        <v>3971</v>
      </c>
      <c r="E742" s="553" t="s">
        <v>5522</v>
      </c>
    </row>
    <row r="743" spans="1:5" ht="27.6">
      <c r="A743" s="295" t="str">
        <f t="shared" si="11"/>
        <v>Specimen Source/Body Site (e.g., Arm)</v>
      </c>
      <c r="B743" s="26" t="s">
        <v>6886</v>
      </c>
      <c r="C743" s="26" t="s">
        <v>4650</v>
      </c>
      <c r="D743" s="288" t="s">
        <v>4021</v>
      </c>
      <c r="E743" s="553" t="s">
        <v>5615</v>
      </c>
    </row>
    <row r="744" spans="1:5">
      <c r="A744" s="295" t="str">
        <f t="shared" si="11"/>
        <v>Date of specimen collection</v>
      </c>
      <c r="B744" s="26" t="s">
        <v>100</v>
      </c>
      <c r="C744" s="26" t="s">
        <v>2613</v>
      </c>
      <c r="D744" s="288" t="s">
        <v>3974</v>
      </c>
      <c r="E744" s="553" t="s">
        <v>5616</v>
      </c>
    </row>
    <row r="745" spans="1:5">
      <c r="A745" s="295" t="str">
        <f t="shared" si="11"/>
        <v>Time of specimen collection</v>
      </c>
      <c r="B745" s="26" t="s">
        <v>101</v>
      </c>
      <c r="C745" s="26" t="s">
        <v>4651</v>
      </c>
      <c r="D745" s="288" t="s">
        <v>4022</v>
      </c>
      <c r="E745" s="553" t="s">
        <v>5617</v>
      </c>
    </row>
    <row r="746" spans="1:5">
      <c r="A746" s="295" t="str">
        <f t="shared" si="11"/>
        <v>Date of specimen receipt</v>
      </c>
      <c r="B746" s="26" t="s">
        <v>104</v>
      </c>
      <c r="C746" s="26" t="s">
        <v>4629</v>
      </c>
      <c r="D746" s="288" t="s">
        <v>3975</v>
      </c>
      <c r="E746" s="553" t="s">
        <v>5530</v>
      </c>
    </row>
    <row r="747" spans="1:5">
      <c r="A747" s="295" t="str">
        <f t="shared" si="11"/>
        <v>Time of specimen receipt</v>
      </c>
      <c r="B747" s="26" t="s">
        <v>105</v>
      </c>
      <c r="C747" s="26" t="s">
        <v>4630</v>
      </c>
      <c r="D747" s="288" t="s">
        <v>3976</v>
      </c>
      <c r="E747" s="553" t="s">
        <v>5531</v>
      </c>
    </row>
    <row r="748" spans="1:5" ht="27.6">
      <c r="A748" s="295" t="str">
        <f t="shared" si="11"/>
        <v>Test order (e.g., culture &amp; AST)</v>
      </c>
      <c r="B748" s="26" t="s">
        <v>6892</v>
      </c>
      <c r="C748" s="26" t="s">
        <v>5624</v>
      </c>
      <c r="D748" s="170" t="s">
        <v>4023</v>
      </c>
      <c r="E748" s="553" t="s">
        <v>5618</v>
      </c>
    </row>
    <row r="749" spans="1:5" ht="27.6">
      <c r="A749" s="295" t="str">
        <f t="shared" si="11"/>
        <v>Name of physician ordering the test</v>
      </c>
      <c r="B749" s="26" t="s">
        <v>794</v>
      </c>
      <c r="C749" s="26" t="s">
        <v>5625</v>
      </c>
      <c r="D749" s="288" t="s">
        <v>3045</v>
      </c>
      <c r="E749" s="553" t="s">
        <v>5619</v>
      </c>
    </row>
    <row r="750" spans="1:5" ht="27.6">
      <c r="A750" s="295" t="str">
        <f t="shared" si="11"/>
        <v>Name or initials of person receiving specimen</v>
      </c>
      <c r="B750" s="26" t="s">
        <v>2623</v>
      </c>
      <c r="C750" s="26" t="s">
        <v>5626</v>
      </c>
      <c r="D750" s="288" t="s">
        <v>3047</v>
      </c>
      <c r="E750" s="553" t="s">
        <v>5627</v>
      </c>
    </row>
    <row r="751" spans="1:5">
      <c r="A751" s="295" t="str">
        <f t="shared" si="11"/>
        <v>CULTURE OBSERVATIONS</v>
      </c>
      <c r="B751" s="26" t="s">
        <v>693</v>
      </c>
      <c r="C751" s="26" t="s">
        <v>2441</v>
      </c>
      <c r="D751" s="288" t="s">
        <v>3712</v>
      </c>
      <c r="E751" s="553" t="s">
        <v>5026</v>
      </c>
    </row>
    <row r="752" spans="1:5" ht="69">
      <c r="A752" s="295" t="str">
        <f t="shared" si="11"/>
        <v>The work card is where culture observations and biochemical test results are recorded. Work cards may be paper or electronic.</v>
      </c>
      <c r="B752" s="26" t="s">
        <v>700</v>
      </c>
      <c r="C752" s="26" t="s">
        <v>5628</v>
      </c>
      <c r="D752" s="170" t="s">
        <v>4026</v>
      </c>
      <c r="E752" s="553" t="s">
        <v>5629</v>
      </c>
    </row>
    <row r="753" spans="1:5" ht="41.4">
      <c r="A753" s="295" t="str">
        <f t="shared" si="11"/>
        <v>Review the workcard of a recently completed culture. Are the following elements recorded?</v>
      </c>
      <c r="B753" s="26" t="s">
        <v>802</v>
      </c>
      <c r="C753" s="26" t="s">
        <v>5630</v>
      </c>
      <c r="D753" s="170" t="s">
        <v>4027</v>
      </c>
      <c r="E753" s="553" t="s">
        <v>5631</v>
      </c>
    </row>
    <row r="754" spans="1:5" ht="27.6">
      <c r="A754" s="295" t="str">
        <f t="shared" si="11"/>
        <v>Gram stain of specimen (e.g., sputum Gram stain)</v>
      </c>
      <c r="B754" s="26" t="s">
        <v>6887</v>
      </c>
      <c r="C754" s="26" t="s">
        <v>4633</v>
      </c>
      <c r="D754" s="288" t="s">
        <v>3979</v>
      </c>
      <c r="E754" s="553" t="s">
        <v>5632</v>
      </c>
    </row>
    <row r="755" spans="1:5" ht="27.6">
      <c r="A755" s="295" t="str">
        <f t="shared" si="11"/>
        <v>Quantity of Epithelial Cells per low power field</v>
      </c>
      <c r="B755" s="26" t="s">
        <v>2368</v>
      </c>
      <c r="C755" s="26" t="s">
        <v>4634</v>
      </c>
      <c r="D755" s="170" t="s">
        <v>3036</v>
      </c>
      <c r="E755" s="553" t="s">
        <v>5533</v>
      </c>
    </row>
    <row r="756" spans="1:5" ht="41.4">
      <c r="A756" s="295" t="str">
        <f t="shared" si="11"/>
        <v>Quantity of PMNs (WBCs) per low power field</v>
      </c>
      <c r="B756" s="26" t="s">
        <v>2369</v>
      </c>
      <c r="C756" s="26" t="s">
        <v>4635</v>
      </c>
      <c r="D756" s="170" t="s">
        <v>7222</v>
      </c>
      <c r="E756" s="553" t="s">
        <v>5534</v>
      </c>
    </row>
    <row r="757" spans="1:5" ht="27.6">
      <c r="A757" s="295" t="str">
        <f t="shared" si="11"/>
        <v>Quantity of bacterial cells per high power field</v>
      </c>
      <c r="B757" s="26" t="s">
        <v>2370</v>
      </c>
      <c r="C757" s="26" t="s">
        <v>4636</v>
      </c>
      <c r="D757" s="170" t="s">
        <v>3037</v>
      </c>
      <c r="E757" s="553" t="s">
        <v>5535</v>
      </c>
    </row>
    <row r="758" spans="1:5" ht="27.6">
      <c r="A758" s="295" t="str">
        <f t="shared" si="11"/>
        <v>Type of bacterial cells (gram-positive cocci, gram-negative bacilli, etc.)</v>
      </c>
      <c r="B758" s="26" t="s">
        <v>6888</v>
      </c>
      <c r="C758" s="26" t="s">
        <v>2614</v>
      </c>
      <c r="D758" s="288" t="s">
        <v>3038</v>
      </c>
      <c r="E758" s="553" t="s">
        <v>5536</v>
      </c>
    </row>
    <row r="759" spans="1:5" ht="41.4">
      <c r="A759" s="295" t="str">
        <f t="shared" si="11"/>
        <v>Description of colony morphologies (e.g. "mucoid lactose-fermenter" or "beta-hemolytic")</v>
      </c>
      <c r="B759" s="26" t="s">
        <v>6889</v>
      </c>
      <c r="C759" s="26" t="s">
        <v>5633</v>
      </c>
      <c r="D759" s="170" t="s">
        <v>3980</v>
      </c>
      <c r="E759" s="553" t="s">
        <v>5538</v>
      </c>
    </row>
    <row r="760" spans="1:5" ht="55.2">
      <c r="A760" s="295" t="str">
        <f t="shared" si="11"/>
        <v>Description of colony quantities (e.g. "1+, 2+, 3+, 4+" or "few, moderate, many")</v>
      </c>
      <c r="B760" s="26" t="s">
        <v>1918</v>
      </c>
      <c r="C760" s="26" t="s">
        <v>5539</v>
      </c>
      <c r="D760" s="288" t="s">
        <v>3981</v>
      </c>
      <c r="E760" s="553" t="s">
        <v>5540</v>
      </c>
    </row>
    <row r="761" spans="1:5" ht="41.4">
      <c r="A761" s="295" t="str">
        <f t="shared" si="11"/>
        <v>Gram stain of bacterial growth colonies (gram-positive cocci, gram-negative bacilli, etc.)</v>
      </c>
      <c r="B761" s="26" t="s">
        <v>6893</v>
      </c>
      <c r="C761" s="362" t="s">
        <v>5634</v>
      </c>
      <c r="D761" s="170" t="s">
        <v>4028</v>
      </c>
      <c r="E761" s="553" t="s">
        <v>5635</v>
      </c>
    </row>
    <row r="762" spans="1:5" ht="41.4">
      <c r="A762" s="295" t="str">
        <f t="shared" si="11"/>
        <v>Biochemical test results (e.g., "catalase positive") for conventional test methods</v>
      </c>
      <c r="B762" s="26" t="s">
        <v>699</v>
      </c>
      <c r="C762" s="26" t="s">
        <v>2615</v>
      </c>
      <c r="D762" s="288" t="s">
        <v>4029</v>
      </c>
      <c r="E762" s="553" t="s">
        <v>5636</v>
      </c>
    </row>
    <row r="763" spans="1:5" ht="41.4">
      <c r="A763" s="295" t="str">
        <f t="shared" si="11"/>
        <v>AST Method used for each antibiotic (e.g., Disk, Etest, Instrument)</v>
      </c>
      <c r="B763" s="26" t="s">
        <v>1558</v>
      </c>
      <c r="C763" s="26" t="s">
        <v>4655</v>
      </c>
      <c r="D763" s="288" t="s">
        <v>4030</v>
      </c>
      <c r="E763" s="553" t="s">
        <v>5637</v>
      </c>
    </row>
    <row r="764" spans="1:5">
      <c r="A764" s="295" t="str">
        <f t="shared" si="11"/>
        <v>Disk diffusion zone sizes</v>
      </c>
      <c r="B764" s="26" t="s">
        <v>694</v>
      </c>
      <c r="C764" s="26" t="s">
        <v>5638</v>
      </c>
      <c r="D764" s="288" t="s">
        <v>3986</v>
      </c>
      <c r="E764" s="553" t="s">
        <v>5639</v>
      </c>
    </row>
    <row r="765" spans="1:5" ht="27.6">
      <c r="A765" s="295" t="str">
        <f t="shared" si="11"/>
        <v>Disk diffusion interpretation (S/I/R)</v>
      </c>
      <c r="B765" s="26" t="s">
        <v>695</v>
      </c>
      <c r="C765" s="26" t="s">
        <v>5640</v>
      </c>
      <c r="D765" s="288" t="s">
        <v>4031</v>
      </c>
      <c r="E765" s="553" t="s">
        <v>5641</v>
      </c>
    </row>
    <row r="766" spans="1:5">
      <c r="A766" s="295" t="str">
        <f t="shared" si="11"/>
        <v>MIC values</v>
      </c>
      <c r="B766" s="26" t="s">
        <v>696</v>
      </c>
      <c r="C766" s="26" t="s">
        <v>5642</v>
      </c>
      <c r="D766" s="288" t="s">
        <v>3988</v>
      </c>
      <c r="E766" s="553" t="s">
        <v>5643</v>
      </c>
    </row>
    <row r="767" spans="1:5">
      <c r="A767" s="295" t="str">
        <f t="shared" si="11"/>
        <v>MIC interpretation (S/I/R)</v>
      </c>
      <c r="B767" s="26" t="s">
        <v>697</v>
      </c>
      <c r="C767" s="26" t="s">
        <v>5644</v>
      </c>
      <c r="D767" s="288" t="s">
        <v>4032</v>
      </c>
      <c r="E767" s="553" t="s">
        <v>5645</v>
      </c>
    </row>
    <row r="768" spans="1:5" ht="41.4">
      <c r="A768" s="295" t="str">
        <f t="shared" si="11"/>
        <v>Describe the laboratory’s system for recording culture observations</v>
      </c>
      <c r="B768" s="26" t="s">
        <v>698</v>
      </c>
      <c r="C768" s="26" t="s">
        <v>5646</v>
      </c>
      <c r="D768" s="288" t="s">
        <v>4033</v>
      </c>
      <c r="E768" s="553" t="s">
        <v>5647</v>
      </c>
    </row>
    <row r="769" spans="1:5" ht="27.6">
      <c r="A769" s="295" t="str">
        <f t="shared" si="11"/>
        <v>1: Laboratory Information System (LIS)</v>
      </c>
      <c r="B769" s="26" t="s">
        <v>89</v>
      </c>
      <c r="C769" s="26" t="s">
        <v>4656</v>
      </c>
      <c r="D769" s="288" t="s">
        <v>4034</v>
      </c>
      <c r="E769" s="553" t="s">
        <v>5648</v>
      </c>
    </row>
    <row r="770" spans="1:5" ht="41.4">
      <c r="A770" s="295" t="str">
        <f t="shared" si="11"/>
        <v>2: Fully electronic, but non-LIS (e.g., Word, Excel)</v>
      </c>
      <c r="B770" s="26" t="s">
        <v>691</v>
      </c>
      <c r="C770" s="26" t="s">
        <v>5649</v>
      </c>
      <c r="D770" s="288" t="s">
        <v>4035</v>
      </c>
      <c r="E770" s="553" t="s">
        <v>5650</v>
      </c>
    </row>
    <row r="771" spans="1:5" ht="55.2">
      <c r="A771" s="295" t="str">
        <f t="shared" si="11"/>
        <v>3: Handwritten on a paper work card (e.g., the back of the specimen requisition) or in a logbook</v>
      </c>
      <c r="B771" s="26" t="s">
        <v>1925</v>
      </c>
      <c r="C771" s="26" t="s">
        <v>5651</v>
      </c>
      <c r="D771" s="288" t="s">
        <v>4036</v>
      </c>
      <c r="E771" s="553" t="s">
        <v>5652</v>
      </c>
    </row>
    <row r="772" spans="1:5" ht="27.6">
      <c r="A772" s="295" t="str">
        <f t="shared" si="11"/>
        <v>4: Combination of handwritten and electronic recording</v>
      </c>
      <c r="B772" s="26" t="s">
        <v>90</v>
      </c>
      <c r="C772" s="26" t="s">
        <v>4657</v>
      </c>
      <c r="D772" s="288" t="s">
        <v>4037</v>
      </c>
      <c r="E772" s="553" t="s">
        <v>5653</v>
      </c>
    </row>
    <row r="773" spans="1:5" ht="27.6">
      <c r="A773" s="295" t="str">
        <f t="shared" si="11"/>
        <v>5: Internal results are not routinely recorded</v>
      </c>
      <c r="B773" s="26" t="s">
        <v>91</v>
      </c>
      <c r="C773" s="26" t="s">
        <v>2635</v>
      </c>
      <c r="D773" s="288" t="s">
        <v>3048</v>
      </c>
      <c r="E773" s="553" t="s">
        <v>5654</v>
      </c>
    </row>
    <row r="774" spans="1:5" ht="55.2">
      <c r="A774" s="295" t="str">
        <f t="shared" si="11"/>
        <v>Are culture observations/work cards retained for a defined time period (at least one year)?</v>
      </c>
      <c r="B774" s="26" t="s">
        <v>1626</v>
      </c>
      <c r="C774" s="26" t="s">
        <v>5655</v>
      </c>
      <c r="D774" s="288" t="s">
        <v>4038</v>
      </c>
      <c r="E774" s="553" t="s">
        <v>5656</v>
      </c>
    </row>
    <row r="775" spans="1:5">
      <c r="A775" s="295" t="str">
        <f t="shared" si="11"/>
        <v>AST RESULTS REPORTING</v>
      </c>
      <c r="B775" s="26" t="s">
        <v>803</v>
      </c>
      <c r="C775" s="26" t="s">
        <v>5657</v>
      </c>
      <c r="D775" s="288" t="s">
        <v>3713</v>
      </c>
      <c r="E775" s="553" t="s">
        <v>5658</v>
      </c>
    </row>
    <row r="776" spans="1:5" ht="41.4">
      <c r="A776" s="295" t="str">
        <f t="shared" si="11"/>
        <v>Describe the laboratory’s system for reporting AST results to the physician/client</v>
      </c>
      <c r="B776" s="26" t="s">
        <v>666</v>
      </c>
      <c r="C776" s="26" t="s">
        <v>5659</v>
      </c>
      <c r="D776" s="288" t="s">
        <v>4039</v>
      </c>
      <c r="E776" s="553" t="s">
        <v>5660</v>
      </c>
    </row>
    <row r="777" spans="1:5" ht="41.4">
      <c r="A777" s="295" t="str">
        <f t="shared" si="11"/>
        <v>1: Fully electronic system – physician does not receive a paper report from the lab</v>
      </c>
      <c r="B777" s="26" t="s">
        <v>6894</v>
      </c>
      <c r="C777" s="26" t="s">
        <v>2636</v>
      </c>
      <c r="D777" s="288" t="s">
        <v>4040</v>
      </c>
      <c r="E777" s="553" t="s">
        <v>5661</v>
      </c>
    </row>
    <row r="778" spans="1:5" ht="27.6">
      <c r="A778" s="295" t="str">
        <f t="shared" si="11"/>
        <v>2: Combination of paper and electronic reporting</v>
      </c>
      <c r="B778" s="26" t="s">
        <v>87</v>
      </c>
      <c r="C778" s="26" t="s">
        <v>2637</v>
      </c>
      <c r="D778" s="288" t="s">
        <v>3049</v>
      </c>
      <c r="E778" s="553" t="s">
        <v>5662</v>
      </c>
    </row>
    <row r="779" spans="1:5">
      <c r="A779" s="295" t="str">
        <f t="shared" si="11"/>
        <v>3: Fully paper-based system</v>
      </c>
      <c r="B779" s="26" t="s">
        <v>88</v>
      </c>
      <c r="C779" s="26" t="s">
        <v>2638</v>
      </c>
      <c r="D779" s="288" t="s">
        <v>3050</v>
      </c>
      <c r="E779" s="553" t="s">
        <v>5663</v>
      </c>
    </row>
    <row r="780" spans="1:5" ht="55.2">
      <c r="A780" s="295" t="str">
        <f t="shared" si="11"/>
        <v>If AST results are fully or partially issued to physicians on paper, please describe that system.</v>
      </c>
      <c r="B780" s="26" t="s">
        <v>1627</v>
      </c>
      <c r="C780" s="26" t="s">
        <v>5664</v>
      </c>
      <c r="D780" s="288" t="s">
        <v>4041</v>
      </c>
      <c r="E780" s="553" t="s">
        <v>5665</v>
      </c>
    </row>
    <row r="781" spans="1:5" ht="27.6">
      <c r="A781" s="295" t="str">
        <f t="shared" si="11"/>
        <v>1: Printout from the Laboratory Information System</v>
      </c>
      <c r="B781" s="26" t="s">
        <v>92</v>
      </c>
      <c r="C781" s="26" t="s">
        <v>4658</v>
      </c>
      <c r="D781" s="288" t="s">
        <v>4042</v>
      </c>
      <c r="E781" s="553" t="s">
        <v>5666</v>
      </c>
    </row>
    <row r="782" spans="1:5" ht="41.4">
      <c r="A782" s="295" t="str">
        <f t="shared" si="11"/>
        <v>2: Printout from the ID/AST instrument (e.g., Vitek, Phoenix, etc.)</v>
      </c>
      <c r="B782" s="26" t="s">
        <v>93</v>
      </c>
      <c r="C782" s="26" t="s">
        <v>4659</v>
      </c>
      <c r="D782" s="288" t="s">
        <v>4043</v>
      </c>
      <c r="E782" s="553" t="s">
        <v>5667</v>
      </c>
    </row>
    <row r="783" spans="1:5" ht="41.4">
      <c r="A783" s="295" t="str">
        <f t="shared" si="11"/>
        <v>3: Printout from a non-LIS computer program (e.g., Word, Excel)</v>
      </c>
      <c r="B783" s="26" t="s">
        <v>6895</v>
      </c>
      <c r="C783" s="26" t="s">
        <v>4660</v>
      </c>
      <c r="D783" s="288" t="s">
        <v>4044</v>
      </c>
      <c r="E783" s="553" t="s">
        <v>5668</v>
      </c>
    </row>
    <row r="784" spans="1:5" ht="27.6">
      <c r="A784" s="295" t="str">
        <f t="shared" si="11"/>
        <v>4: Primarily hand-written onto a paper form</v>
      </c>
      <c r="B784" s="26" t="s">
        <v>6896</v>
      </c>
      <c r="C784" s="26" t="s">
        <v>2639</v>
      </c>
      <c r="D784" s="288" t="s">
        <v>3051</v>
      </c>
      <c r="E784" s="553" t="s">
        <v>5669</v>
      </c>
    </row>
    <row r="785" spans="1:5" ht="41.4">
      <c r="A785" s="295" t="str">
        <f t="shared" si="11"/>
        <v>Are AST reports retained for a defined time period (at least one year)?</v>
      </c>
      <c r="B785" s="26" t="s">
        <v>701</v>
      </c>
      <c r="C785" s="26" t="s">
        <v>4661</v>
      </c>
      <c r="D785" s="288" t="s">
        <v>4045</v>
      </c>
      <c r="E785" s="553" t="s">
        <v>5670</v>
      </c>
    </row>
    <row r="786" spans="1:5" ht="27.6">
      <c r="A786" s="295" t="str">
        <f t="shared" si="11"/>
        <v>DATA BACKUP &amp; SECURITY</v>
      </c>
      <c r="B786" s="26" t="s">
        <v>702</v>
      </c>
      <c r="C786" s="26" t="s">
        <v>5671</v>
      </c>
      <c r="D786" s="170" t="s">
        <v>3714</v>
      </c>
      <c r="E786" s="553" t="s">
        <v>5672</v>
      </c>
    </row>
    <row r="787" spans="1:5" ht="41.4">
      <c r="A787" s="295" t="str">
        <f t="shared" si="11"/>
        <v xml:space="preserve">What method is used to back up the lab’s electronic patient records? </v>
      </c>
      <c r="B787" s="26" t="s">
        <v>1927</v>
      </c>
      <c r="C787" s="26" t="s">
        <v>5673</v>
      </c>
      <c r="D787" s="288" t="s">
        <v>4046</v>
      </c>
      <c r="E787" s="553" t="s">
        <v>5674</v>
      </c>
    </row>
    <row r="788" spans="1:5" ht="82.8">
      <c r="A788" s="295" t="str">
        <f t="shared" si="11"/>
        <v>1: Facility or cloud server - 2: External hard drive, USB, or CD - 3: Internal hard drive (PC or laptop) - 4: None - NA: do not use an electronic database for patient records</v>
      </c>
      <c r="B788" s="26" t="s">
        <v>1928</v>
      </c>
      <c r="C788" s="26" t="s">
        <v>5675</v>
      </c>
      <c r="D788" s="288" t="s">
        <v>4047</v>
      </c>
      <c r="E788" s="553" t="s">
        <v>5676</v>
      </c>
    </row>
    <row r="789" spans="1:5" ht="41.4">
      <c r="A789" s="295" t="str">
        <f t="shared" si="11"/>
        <v>How frequently are the lab’s electronic records backed up?</v>
      </c>
      <c r="B789" s="26" t="s">
        <v>1926</v>
      </c>
      <c r="C789" s="26" t="s">
        <v>5677</v>
      </c>
      <c r="D789" s="288" t="s">
        <v>4048</v>
      </c>
      <c r="E789" s="553" t="s">
        <v>5678</v>
      </c>
    </row>
    <row r="790" spans="1:5" ht="55.2">
      <c r="A790" s="295" t="str">
        <f t="shared" si="11"/>
        <v>1: Daily/Continuously - 2: Other frequency, specify in comments - 3: Never - NA: no electronic database</v>
      </c>
      <c r="B790" s="26" t="s">
        <v>2248</v>
      </c>
      <c r="C790" s="26" t="s">
        <v>5679</v>
      </c>
      <c r="D790" s="288" t="s">
        <v>3052</v>
      </c>
      <c r="E790" s="553" t="s">
        <v>5680</v>
      </c>
    </row>
    <row r="791" spans="1:5" ht="55.2">
      <c r="A791" s="295" t="str">
        <f t="shared" si="11"/>
        <v>Does the lab or facility have a policy and/or SOP on data backup and restoration?</v>
      </c>
      <c r="B791" s="26" t="s">
        <v>2249</v>
      </c>
      <c r="C791" s="26" t="s">
        <v>4662</v>
      </c>
      <c r="D791" s="288" t="s">
        <v>4049</v>
      </c>
      <c r="E791" s="553" t="s">
        <v>5681</v>
      </c>
    </row>
    <row r="792" spans="1:5" ht="41.4">
      <c r="A792" s="295" t="str">
        <f t="shared" si="11"/>
        <v>Does the lab or facility have a policy and/or SOP on data security and confidentiality?</v>
      </c>
      <c r="B792" s="26" t="s">
        <v>2250</v>
      </c>
      <c r="C792" s="26" t="s">
        <v>2640</v>
      </c>
      <c r="D792" s="288" t="s">
        <v>4050</v>
      </c>
      <c r="E792" s="553" t="s">
        <v>5682</v>
      </c>
    </row>
    <row r="793" spans="1:5" ht="27.6">
      <c r="A793" s="295" t="str">
        <f t="shared" si="11"/>
        <v>Do laboratory computers have antivirus software?</v>
      </c>
      <c r="B793" s="26" t="s">
        <v>1579</v>
      </c>
      <c r="C793" s="26" t="s">
        <v>2641</v>
      </c>
      <c r="D793" s="288" t="s">
        <v>4051</v>
      </c>
      <c r="E793" s="553" t="s">
        <v>5683</v>
      </c>
    </row>
    <row r="794" spans="1:5" ht="41.4">
      <c r="A794" s="295" t="str">
        <f t="shared" si="11"/>
        <v>Do laboratory computers have genuine (not pirated) Operating Systems?</v>
      </c>
      <c r="B794" s="26" t="s">
        <v>1885</v>
      </c>
      <c r="C794" s="26" t="s">
        <v>4663</v>
      </c>
      <c r="D794" s="288" t="s">
        <v>4052</v>
      </c>
      <c r="E794" s="553" t="s">
        <v>5684</v>
      </c>
    </row>
    <row r="795" spans="1:5" ht="27.6">
      <c r="A795" s="295" t="str">
        <f t="shared" si="11"/>
        <v xml:space="preserve">AMR DATA SHARING </v>
      </c>
      <c r="B795" s="26" t="s">
        <v>1698</v>
      </c>
      <c r="C795" s="26" t="s">
        <v>4664</v>
      </c>
      <c r="D795" s="170" t="s">
        <v>3715</v>
      </c>
      <c r="E795" s="553" t="s">
        <v>5030</v>
      </c>
    </row>
    <row r="796" spans="1:5" ht="41.4">
      <c r="A796" s="295" t="str">
        <f t="shared" si="11"/>
        <v>Is the laboratory currently a member of any AMR Surveillance Systems?</v>
      </c>
      <c r="B796" s="26" t="s">
        <v>2373</v>
      </c>
      <c r="C796" s="26" t="s">
        <v>4665</v>
      </c>
      <c r="D796" s="288" t="s">
        <v>4053</v>
      </c>
      <c r="E796" s="553" t="s">
        <v>5685</v>
      </c>
    </row>
    <row r="797" spans="1:5" ht="41.4">
      <c r="A797" s="295" t="str">
        <f t="shared" si="11"/>
        <v>WHO GLASS (Global Antimicrobial Resistance Surveillance System)</v>
      </c>
      <c r="B797" s="26" t="s">
        <v>2093</v>
      </c>
      <c r="C797" s="26" t="s">
        <v>2642</v>
      </c>
      <c r="D797" s="288" t="s">
        <v>4054</v>
      </c>
      <c r="E797" s="553" t="s">
        <v>5686</v>
      </c>
    </row>
    <row r="798" spans="1:5" ht="27.6">
      <c r="A798" s="295" t="str">
        <f t="shared" si="11"/>
        <v>Other, please describe in comments</v>
      </c>
      <c r="B798" s="26" t="s">
        <v>734</v>
      </c>
      <c r="C798" s="26" t="s">
        <v>2643</v>
      </c>
      <c r="D798" s="288" t="s">
        <v>3053</v>
      </c>
      <c r="E798" s="553" t="s">
        <v>5687</v>
      </c>
    </row>
    <row r="799" spans="1:5" ht="55.2">
      <c r="A799" s="295" t="str">
        <f t="shared" si="11"/>
        <v>Which of the following methods are currently used to submit data to the AMR surveillance network(s)?</v>
      </c>
      <c r="B799" s="26" t="s">
        <v>1699</v>
      </c>
      <c r="C799" s="26" t="s">
        <v>4666</v>
      </c>
      <c r="D799" s="288" t="s">
        <v>4055</v>
      </c>
      <c r="E799" s="553" t="s">
        <v>5688</v>
      </c>
    </row>
    <row r="800" spans="1:5" ht="55.2">
      <c r="A800" s="295" t="str">
        <f t="shared" si="11"/>
        <v>More than one may be used. If the lab does not currently participate in AMR surveillance, select NA</v>
      </c>
      <c r="B800" s="26" t="s">
        <v>6705</v>
      </c>
      <c r="C800" s="26" t="s">
        <v>4667</v>
      </c>
      <c r="D800" s="288" t="s">
        <v>4056</v>
      </c>
      <c r="E800" s="553" t="s">
        <v>5689</v>
      </c>
    </row>
    <row r="801" spans="1:5" ht="27.6">
      <c r="A801" s="295" t="str">
        <f t="shared" si="11"/>
        <v>Lab sends paper forms to an AMR coordinator</v>
      </c>
      <c r="B801" s="26" t="s">
        <v>735</v>
      </c>
      <c r="C801" s="26" t="s">
        <v>4668</v>
      </c>
      <c r="D801" s="288" t="s">
        <v>4057</v>
      </c>
      <c r="E801" s="553" t="s">
        <v>5690</v>
      </c>
    </row>
    <row r="802" spans="1:5" ht="27.6">
      <c r="A802" s="295" t="str">
        <f t="shared" ref="A802:A865" si="12">IF(langue=1,B802,IF(langue=2,C802,IF(langue=3,D802,IF(langue=4,E802,F802))))</f>
        <v>Lab types data into an Excel spreadsheet</v>
      </c>
      <c r="B802" s="26" t="s">
        <v>736</v>
      </c>
      <c r="C802" s="26" t="s">
        <v>2644</v>
      </c>
      <c r="D802" s="288" t="s">
        <v>4058</v>
      </c>
      <c r="E802" s="553" t="s">
        <v>5691</v>
      </c>
    </row>
    <row r="803" spans="1:5" ht="27.6">
      <c r="A803" s="295" t="str">
        <f t="shared" si="12"/>
        <v>Lab types data into an online database</v>
      </c>
      <c r="B803" s="26" t="s">
        <v>733</v>
      </c>
      <c r="C803" s="26" t="s">
        <v>5692</v>
      </c>
      <c r="D803" s="288" t="s">
        <v>4059</v>
      </c>
      <c r="E803" s="553" t="s">
        <v>5693</v>
      </c>
    </row>
    <row r="804" spans="1:5" ht="27.6">
      <c r="A804" s="295" t="str">
        <f t="shared" si="12"/>
        <v>Lab types data into WHONET</v>
      </c>
      <c r="B804" s="26" t="s">
        <v>737</v>
      </c>
      <c r="C804" s="26" t="s">
        <v>5694</v>
      </c>
      <c r="D804" s="288" t="s">
        <v>4060</v>
      </c>
      <c r="E804" s="553" t="s">
        <v>5695</v>
      </c>
    </row>
    <row r="805" spans="1:5" ht="41.4">
      <c r="A805" s="295" t="str">
        <f t="shared" si="12"/>
        <v>Lab exports a file from the automated AST instrument</v>
      </c>
      <c r="B805" s="26" t="s">
        <v>738</v>
      </c>
      <c r="C805" s="26" t="s">
        <v>5696</v>
      </c>
      <c r="D805" s="288" t="s">
        <v>4061</v>
      </c>
      <c r="E805" s="553" t="s">
        <v>5697</v>
      </c>
    </row>
    <row r="806" spans="1:5" ht="27.6">
      <c r="A806" s="295" t="str">
        <f t="shared" si="12"/>
        <v>Lab exports a file from the LIS</v>
      </c>
      <c r="B806" s="26" t="s">
        <v>739</v>
      </c>
      <c r="C806" s="26" t="s">
        <v>4669</v>
      </c>
      <c r="D806" s="288" t="s">
        <v>4062</v>
      </c>
      <c r="E806" s="553" t="s">
        <v>5698</v>
      </c>
    </row>
    <row r="807" spans="1:5" ht="55.2">
      <c r="A807" s="295" t="str">
        <f t="shared" si="12"/>
        <v>If the lab has ever tried to use BacLink to transfer data from the LIS into WHONET, were any of the following problems encountered?</v>
      </c>
      <c r="B807" s="26" t="s">
        <v>2624</v>
      </c>
      <c r="C807" s="26" t="s">
        <v>2645</v>
      </c>
      <c r="D807" s="288" t="s">
        <v>4063</v>
      </c>
      <c r="E807" s="553" t="s">
        <v>5699</v>
      </c>
    </row>
    <row r="808" spans="1:5" ht="41.4">
      <c r="A808" s="295" t="str">
        <f t="shared" si="12"/>
        <v>The LIS export file was missing some of the required data fields</v>
      </c>
      <c r="B808" s="26" t="s">
        <v>2261</v>
      </c>
      <c r="C808" s="26" t="s">
        <v>4670</v>
      </c>
      <c r="D808" s="288" t="s">
        <v>4064</v>
      </c>
      <c r="E808" s="553" t="s">
        <v>5700</v>
      </c>
    </row>
    <row r="809" spans="1:5" ht="41.4">
      <c r="A809" s="295" t="str">
        <f t="shared" si="12"/>
        <v xml:space="preserve">The LIS export file merged/combined different data fields into a single column </v>
      </c>
      <c r="B809" s="26" t="s">
        <v>2260</v>
      </c>
      <c r="C809" s="26" t="s">
        <v>4671</v>
      </c>
      <c r="D809" s="288" t="s">
        <v>4065</v>
      </c>
      <c r="E809" s="553" t="s">
        <v>5701</v>
      </c>
    </row>
    <row r="810" spans="1:5" ht="41.4">
      <c r="A810" s="295" t="str">
        <f t="shared" si="12"/>
        <v>The LIS export file does not distinguish antibiotic results by AST method</v>
      </c>
      <c r="B810" s="26" t="s">
        <v>2259</v>
      </c>
      <c r="C810" s="26" t="s">
        <v>5702</v>
      </c>
      <c r="D810" s="170" t="s">
        <v>4066</v>
      </c>
      <c r="E810" s="553" t="s">
        <v>5703</v>
      </c>
    </row>
    <row r="811" spans="1:5" ht="41.4">
      <c r="A811" s="295" t="str">
        <f t="shared" si="12"/>
        <v>The LIS export file does not contain zone sizes or MIC values</v>
      </c>
      <c r="B811" s="26" t="s">
        <v>2262</v>
      </c>
      <c r="C811" s="26" t="s">
        <v>5704</v>
      </c>
      <c r="D811" s="288" t="s">
        <v>4067</v>
      </c>
      <c r="E811" s="553" t="s">
        <v>5705</v>
      </c>
    </row>
    <row r="812" spans="1:5" ht="27.6">
      <c r="A812" s="295" t="str">
        <f t="shared" si="12"/>
        <v>Other, please describe in comments</v>
      </c>
      <c r="B812" s="26" t="s">
        <v>734</v>
      </c>
      <c r="C812" s="26" t="s">
        <v>2643</v>
      </c>
      <c r="D812" s="288" t="s">
        <v>3053</v>
      </c>
      <c r="E812" s="553" t="s">
        <v>5687</v>
      </c>
    </row>
    <row r="813" spans="1:5" ht="69">
      <c r="A813" s="295" t="str">
        <f t="shared" si="12"/>
        <v>If the lab has ever tried to use BacLink to transfer data from the automated AST instrument into WHONET, were any of the following problems encountered?</v>
      </c>
      <c r="B813" s="26" t="s">
        <v>2625</v>
      </c>
      <c r="C813" s="26" t="s">
        <v>5706</v>
      </c>
      <c r="D813" s="288" t="s">
        <v>4068</v>
      </c>
      <c r="E813" s="553" t="s">
        <v>5707</v>
      </c>
    </row>
    <row r="814" spans="1:5" ht="55.2">
      <c r="A814" s="295" t="str">
        <f t="shared" si="12"/>
        <v>The instrument export file was missing some of the required data fields (like patient demographics)</v>
      </c>
      <c r="B814" s="26" t="s">
        <v>2270</v>
      </c>
      <c r="C814" s="26" t="s">
        <v>5708</v>
      </c>
      <c r="D814" s="288" t="s">
        <v>4069</v>
      </c>
      <c r="E814" s="553" t="s">
        <v>5709</v>
      </c>
    </row>
    <row r="815" spans="1:5" ht="41.4">
      <c r="A815" s="295" t="str">
        <f t="shared" si="12"/>
        <v xml:space="preserve">The instrument export file merged/combined different data fields into a single column </v>
      </c>
      <c r="B815" s="26" t="s">
        <v>2269</v>
      </c>
      <c r="C815" s="26" t="s">
        <v>5710</v>
      </c>
      <c r="D815" s="288" t="s">
        <v>4070</v>
      </c>
      <c r="E815" s="553" t="s">
        <v>5711</v>
      </c>
    </row>
    <row r="816" spans="1:5" ht="27.6">
      <c r="A816" s="295" t="str">
        <f t="shared" si="12"/>
        <v>The instrument export file was missing MIC values</v>
      </c>
      <c r="B816" s="26" t="s">
        <v>2271</v>
      </c>
      <c r="C816" s="26" t="s">
        <v>5712</v>
      </c>
      <c r="D816" s="288" t="s">
        <v>4071</v>
      </c>
      <c r="E816" s="553" t="s">
        <v>5713</v>
      </c>
    </row>
    <row r="817" spans="1:5" ht="27.6">
      <c r="A817" s="295" t="str">
        <f t="shared" si="12"/>
        <v>The instrument export file was missing SIR values</v>
      </c>
      <c r="B817" s="26" t="s">
        <v>2272</v>
      </c>
      <c r="C817" s="26" t="s">
        <v>5714</v>
      </c>
      <c r="D817" s="288" t="s">
        <v>4072</v>
      </c>
      <c r="E817" s="553" t="s">
        <v>5715</v>
      </c>
    </row>
    <row r="818" spans="1:5" ht="27.6">
      <c r="A818" s="295" t="str">
        <f t="shared" si="12"/>
        <v>Other, please describe in comments</v>
      </c>
      <c r="B818" s="26" t="s">
        <v>734</v>
      </c>
      <c r="C818" s="26" t="s">
        <v>2643</v>
      </c>
      <c r="D818" s="288" t="s">
        <v>3053</v>
      </c>
      <c r="E818" s="553" t="s">
        <v>5687</v>
      </c>
    </row>
    <row r="819" spans="1:5">
      <c r="A819" s="295" t="str">
        <f t="shared" si="12"/>
        <v>4- QUALITY ASSURANCE</v>
      </c>
      <c r="B819" s="26" t="s">
        <v>916</v>
      </c>
      <c r="C819" s="26" t="s">
        <v>2443</v>
      </c>
      <c r="D819" s="288" t="s">
        <v>2921</v>
      </c>
      <c r="E819" s="553" t="s">
        <v>5716</v>
      </c>
    </row>
    <row r="820" spans="1:5">
      <c r="A820" s="295" t="str">
        <f t="shared" si="12"/>
        <v>QUALITY STRUCTURE/BASICS</v>
      </c>
      <c r="B820" s="26" t="s">
        <v>767</v>
      </c>
      <c r="C820" s="26" t="s">
        <v>5717</v>
      </c>
      <c r="D820" s="170" t="s">
        <v>4073</v>
      </c>
      <c r="E820" s="553" t="s">
        <v>5033</v>
      </c>
    </row>
    <row r="821" spans="1:5" ht="41.4">
      <c r="A821" s="295" t="str">
        <f t="shared" si="12"/>
        <v>Is there a Quality Manual in place that conforms to ISO standards? (15189, 17025 or 9001)?</v>
      </c>
      <c r="B821" s="26" t="s">
        <v>769</v>
      </c>
      <c r="C821" s="26" t="s">
        <v>2648</v>
      </c>
      <c r="D821" s="288" t="s">
        <v>3054</v>
      </c>
      <c r="E821" s="553" t="s">
        <v>5718</v>
      </c>
    </row>
    <row r="822" spans="1:5" ht="27.6">
      <c r="A822" s="295" t="str">
        <f t="shared" si="12"/>
        <v>Does the lab have a formally designated Quality Officer or Manager?</v>
      </c>
      <c r="B822" s="26" t="s">
        <v>905</v>
      </c>
      <c r="C822" s="26" t="s">
        <v>4672</v>
      </c>
      <c r="D822" s="288" t="s">
        <v>4074</v>
      </c>
      <c r="E822" s="553" t="s">
        <v>5719</v>
      </c>
    </row>
    <row r="823" spans="1:5" ht="41.4">
      <c r="A823" s="295" t="str">
        <f t="shared" si="12"/>
        <v>Is there a Quality Focal Point in bacteriology, in charge of collaboration with quality manager?</v>
      </c>
      <c r="B823" s="26" t="s">
        <v>906</v>
      </c>
      <c r="C823" s="26" t="s">
        <v>2649</v>
      </c>
      <c r="D823" s="170" t="s">
        <v>4075</v>
      </c>
      <c r="E823" s="553" t="s">
        <v>5720</v>
      </c>
    </row>
    <row r="824" spans="1:5" ht="69">
      <c r="A824" s="295" t="str">
        <f t="shared" si="12"/>
        <v>Is there documentation showing that the Quality Officers and Focal Points have received appropriate training in Quality Management Systems (QMS)?</v>
      </c>
      <c r="B824" s="26" t="s">
        <v>768</v>
      </c>
      <c r="C824" s="26" t="s">
        <v>4673</v>
      </c>
      <c r="D824" s="288" t="s">
        <v>4076</v>
      </c>
      <c r="E824" s="553" t="s">
        <v>5721</v>
      </c>
    </row>
    <row r="825" spans="1:5" ht="41.4">
      <c r="A825" s="295" t="str">
        <f t="shared" si="12"/>
        <v>1: Yes - 2: Some, but would like additional training - 3: No training documented</v>
      </c>
      <c r="B825" s="94" t="s">
        <v>292</v>
      </c>
      <c r="C825" s="94" t="s">
        <v>2650</v>
      </c>
      <c r="D825" s="293" t="s">
        <v>4077</v>
      </c>
      <c r="E825" s="553" t="s">
        <v>5722</v>
      </c>
    </row>
    <row r="826" spans="1:5" ht="55.2">
      <c r="A826" s="295" t="str">
        <f t="shared" si="12"/>
        <v>How often does a Supervisor or Quality Officer review Media QC, ID QC, and AST QC results?</v>
      </c>
      <c r="B826" s="26" t="s">
        <v>2374</v>
      </c>
      <c r="C826" s="26" t="s">
        <v>4674</v>
      </c>
      <c r="D826" s="288" t="s">
        <v>4078</v>
      </c>
      <c r="E826" s="553" t="s">
        <v>5723</v>
      </c>
    </row>
    <row r="827" spans="1:5" ht="27.6">
      <c r="A827" s="295" t="str">
        <f t="shared" si="12"/>
        <v>1: Weekly  – 2: Monthly  – 3: Sporadically – 4: Never</v>
      </c>
      <c r="B827" s="26" t="s">
        <v>2375</v>
      </c>
      <c r="C827" s="26" t="s">
        <v>2651</v>
      </c>
      <c r="D827" s="288" t="s">
        <v>3055</v>
      </c>
      <c r="E827" s="553" t="s">
        <v>5724</v>
      </c>
    </row>
    <row r="828" spans="1:5" ht="41.4">
      <c r="A828" s="295" t="str">
        <f t="shared" si="12"/>
        <v>Is there evidence that QC review is performed at the stated frequency?</v>
      </c>
      <c r="B828" s="26" t="s">
        <v>804</v>
      </c>
      <c r="C828" s="26" t="s">
        <v>2652</v>
      </c>
      <c r="D828" s="288" t="s">
        <v>3056</v>
      </c>
      <c r="E828" s="553" t="s">
        <v>5725</v>
      </c>
    </row>
    <row r="829" spans="1:5" ht="41.4">
      <c r="A829" s="295" t="str">
        <f t="shared" si="12"/>
        <v>1: Yes, for all QC results - 2: Yes, but only for some QC results - 3: No</v>
      </c>
      <c r="B829" s="26" t="s">
        <v>118</v>
      </c>
      <c r="C829" s="26" t="s">
        <v>4675</v>
      </c>
      <c r="D829" s="288" t="s">
        <v>3057</v>
      </c>
      <c r="E829" s="553" t="s">
        <v>5726</v>
      </c>
    </row>
    <row r="830" spans="1:5" ht="69">
      <c r="A830" s="295" t="str">
        <f t="shared" si="12"/>
        <v xml:space="preserve">Is there documentation showing that the Supervisor/Quality Officer received training on how to effectively troubleshoot QC failures? </v>
      </c>
      <c r="B830" s="26" t="s">
        <v>6897</v>
      </c>
      <c r="C830" s="26" t="s">
        <v>4676</v>
      </c>
      <c r="D830" s="170" t="s">
        <v>4079</v>
      </c>
      <c r="E830" s="553" t="s">
        <v>5727</v>
      </c>
    </row>
    <row r="831" spans="1:5" ht="41.4">
      <c r="A831" s="295" t="str">
        <f t="shared" si="12"/>
        <v>1: Yes - 2: Some, but would like additional training - 3: No training documented</v>
      </c>
      <c r="B831" s="26" t="s">
        <v>292</v>
      </c>
      <c r="C831" s="26" t="s">
        <v>2650</v>
      </c>
      <c r="D831" s="288" t="s">
        <v>4077</v>
      </c>
      <c r="E831" s="553" t="s">
        <v>5728</v>
      </c>
    </row>
    <row r="832" spans="1:5" ht="41.4">
      <c r="A832" s="295" t="str">
        <f t="shared" si="12"/>
        <v>Does a Supervisor or qualified designee review positive culture results every day?</v>
      </c>
      <c r="B832" s="26" t="s">
        <v>805</v>
      </c>
      <c r="C832" s="26" t="s">
        <v>4677</v>
      </c>
      <c r="D832" s="288" t="s">
        <v>4080</v>
      </c>
      <c r="E832" s="553" t="s">
        <v>5729</v>
      </c>
    </row>
    <row r="833" spans="1:5" ht="55.2">
      <c r="A833" s="295" t="str">
        <f t="shared" si="12"/>
        <v>Are there written guidelines stating who is permitted to modify erroneous lab results after they have been reported?</v>
      </c>
      <c r="B833" s="26" t="s">
        <v>40</v>
      </c>
      <c r="C833" s="26" t="s">
        <v>5730</v>
      </c>
      <c r="D833" s="288" t="s">
        <v>4081</v>
      </c>
      <c r="E833" s="553" t="s">
        <v>5731</v>
      </c>
    </row>
    <row r="834" spans="1:5" ht="27.6">
      <c r="A834" s="295" t="str">
        <f t="shared" si="12"/>
        <v>Who is permitted to modify erroneous lab results?</v>
      </c>
      <c r="B834" s="26" t="s">
        <v>41</v>
      </c>
      <c r="C834" s="26" t="s">
        <v>5732</v>
      </c>
      <c r="D834" s="288" t="s">
        <v>3058</v>
      </c>
      <c r="E834" s="553" t="s">
        <v>5733</v>
      </c>
    </row>
    <row r="835" spans="1:5" ht="41.4">
      <c r="A835" s="295" t="str">
        <f t="shared" si="12"/>
        <v>1: Supervisors and/or persons with supervisory permission - 2: All microbiologists</v>
      </c>
      <c r="B835" s="26" t="s">
        <v>334</v>
      </c>
      <c r="C835" s="26" t="s">
        <v>2653</v>
      </c>
      <c r="D835" s="288" t="s">
        <v>3059</v>
      </c>
      <c r="E835" s="553" t="s">
        <v>5734</v>
      </c>
    </row>
    <row r="836" spans="1:5" ht="41.4">
      <c r="A836" s="295" t="str">
        <f t="shared" si="12"/>
        <v>When corrections to patient results are made, what is done with the erroneous result?</v>
      </c>
      <c r="B836" s="26" t="s">
        <v>42</v>
      </c>
      <c r="C836" s="26" t="s">
        <v>5735</v>
      </c>
      <c r="D836" s="288" t="s">
        <v>4082</v>
      </c>
      <c r="E836" s="553" t="s">
        <v>5736</v>
      </c>
    </row>
    <row r="837" spans="1:5" ht="82.8">
      <c r="A837" s="295" t="str">
        <f t="shared" si="12"/>
        <v>1: Erroneous results remain in place but are amended to reflect that they are erroneous - 2: Erroneous results are deleted from the record - 3: Other(explain in comments)</v>
      </c>
      <c r="B837" s="26" t="s">
        <v>119</v>
      </c>
      <c r="C837" s="26" t="s">
        <v>5737</v>
      </c>
      <c r="D837" s="288" t="s">
        <v>4083</v>
      </c>
      <c r="E837" s="553" t="s">
        <v>5738</v>
      </c>
    </row>
    <row r="838" spans="1:5" ht="41.4">
      <c r="A838" s="295" t="str">
        <f t="shared" si="12"/>
        <v>LABORATORY STAFF EDUCATION/TRAINING/COMPETENCY</v>
      </c>
      <c r="B838" s="26" t="s">
        <v>841</v>
      </c>
      <c r="C838" s="26" t="s">
        <v>4556</v>
      </c>
      <c r="D838" s="288" t="s">
        <v>4084</v>
      </c>
      <c r="E838" s="553" t="s">
        <v>5739</v>
      </c>
    </row>
    <row r="839" spans="1:5" ht="69">
      <c r="A839" s="295" t="str">
        <f t="shared" si="12"/>
        <v>Does at least 50% of the technical staff possess formal education in microbiology or medical laboratory science? (Refer to the figure in column D)</v>
      </c>
      <c r="B839" s="26" t="s">
        <v>1628</v>
      </c>
      <c r="C839" s="26" t="s">
        <v>4678</v>
      </c>
      <c r="D839" s="288" t="s">
        <v>4085</v>
      </c>
      <c r="E839" s="553" t="s">
        <v>5740</v>
      </c>
    </row>
    <row r="840" spans="1:5" ht="55.2">
      <c r="A840" s="295" t="str">
        <f t="shared" si="12"/>
        <v>Is the lab sufficiently staffed to provide high quality services? (Including support staff)</v>
      </c>
      <c r="B840" s="26" t="s">
        <v>6898</v>
      </c>
      <c r="C840" s="26" t="s">
        <v>2654</v>
      </c>
      <c r="D840" s="288" t="s">
        <v>4086</v>
      </c>
      <c r="E840" s="553" t="s">
        <v>5741</v>
      </c>
    </row>
    <row r="841" spans="1:5" ht="41.4">
      <c r="A841" s="295" t="str">
        <f t="shared" si="12"/>
        <v>Does the lab have a standardized process for training new employees?</v>
      </c>
      <c r="B841" s="26" t="s">
        <v>1929</v>
      </c>
      <c r="C841" s="26" t="s">
        <v>2655</v>
      </c>
      <c r="D841" s="288" t="s">
        <v>4087</v>
      </c>
      <c r="E841" s="553" t="s">
        <v>5742</v>
      </c>
    </row>
    <row r="842" spans="1:5" ht="96.6">
      <c r="A842" s="295" t="str">
        <f t="shared" si="12"/>
        <v>Does the lab have up-to-date documentation showing which benches &amp; tests each staff member has been trained on and approved to work independently? (Review such records)</v>
      </c>
      <c r="B842" s="26" t="s">
        <v>770</v>
      </c>
      <c r="C842" s="26" t="s">
        <v>4679</v>
      </c>
      <c r="D842" s="288" t="s">
        <v>4088</v>
      </c>
      <c r="E842" s="553" t="s">
        <v>5743</v>
      </c>
    </row>
    <row r="843" spans="1:5" ht="110.4">
      <c r="A843" s="295" t="str">
        <f t="shared" si="12"/>
        <v>Do records demonstrate that lab staff receive annual competency assessments for each of the following? (Review competency records, select NA if not on lab's test menu)</v>
      </c>
      <c r="B843" s="26" t="s">
        <v>7227</v>
      </c>
      <c r="C843" s="26" t="s">
        <v>7228</v>
      </c>
      <c r="D843" s="170" t="s">
        <v>7229</v>
      </c>
      <c r="E843" s="553" t="s">
        <v>7230</v>
      </c>
    </row>
    <row r="844" spans="1:5">
      <c r="A844" s="295" t="str">
        <f t="shared" si="12"/>
        <v>Blood culture</v>
      </c>
      <c r="B844" s="26" t="s">
        <v>843</v>
      </c>
      <c r="C844" s="26" t="s">
        <v>4680</v>
      </c>
      <c r="D844" s="288" t="s">
        <v>4089</v>
      </c>
      <c r="E844" s="553" t="s">
        <v>4934</v>
      </c>
    </row>
    <row r="845" spans="1:5">
      <c r="A845" s="295" t="str">
        <f t="shared" si="12"/>
        <v>Urine culture</v>
      </c>
      <c r="B845" s="26" t="s">
        <v>844</v>
      </c>
      <c r="C845" s="26" t="s">
        <v>5744</v>
      </c>
      <c r="D845" s="288" t="s">
        <v>4090</v>
      </c>
      <c r="E845" s="553" t="s">
        <v>4935</v>
      </c>
    </row>
    <row r="846" spans="1:5">
      <c r="A846" s="295" t="str">
        <f t="shared" si="12"/>
        <v>Stool culture</v>
      </c>
      <c r="B846" s="26" t="s">
        <v>845</v>
      </c>
      <c r="C846" s="26" t="s">
        <v>5745</v>
      </c>
      <c r="D846" s="288" t="s">
        <v>3657</v>
      </c>
      <c r="E846" s="553" t="s">
        <v>4936</v>
      </c>
    </row>
    <row r="847" spans="1:5">
      <c r="A847" s="295" t="str">
        <f t="shared" si="12"/>
        <v>Respiratory culture (non-TB)</v>
      </c>
      <c r="B847" s="26" t="s">
        <v>846</v>
      </c>
      <c r="C847" s="26" t="s">
        <v>2656</v>
      </c>
      <c r="D847" s="288" t="s">
        <v>3060</v>
      </c>
      <c r="E847" s="553" t="s">
        <v>5746</v>
      </c>
    </row>
    <row r="848" spans="1:5">
      <c r="A848" s="295" t="str">
        <f t="shared" si="12"/>
        <v>Wound culture</v>
      </c>
      <c r="B848" s="26" t="s">
        <v>847</v>
      </c>
      <c r="C848" s="26" t="s">
        <v>5747</v>
      </c>
      <c r="D848" s="288" t="s">
        <v>4091</v>
      </c>
      <c r="E848" s="553" t="s">
        <v>5748</v>
      </c>
    </row>
    <row r="849" spans="1:5">
      <c r="A849" s="295" t="str">
        <f t="shared" si="12"/>
        <v>Cerebrospinal Fluid Cultures</v>
      </c>
      <c r="B849" s="26" t="s">
        <v>835</v>
      </c>
      <c r="C849" s="26" t="s">
        <v>2419</v>
      </c>
      <c r="D849" s="288" t="s">
        <v>2901</v>
      </c>
      <c r="E849" s="553" t="s">
        <v>5749</v>
      </c>
    </row>
    <row r="850" spans="1:5">
      <c r="A850" s="295" t="str">
        <f t="shared" si="12"/>
        <v>Sterile Body Fluid Cultures</v>
      </c>
      <c r="B850" s="26" t="s">
        <v>828</v>
      </c>
      <c r="C850" s="26" t="s">
        <v>4938</v>
      </c>
      <c r="D850" s="288" t="s">
        <v>2902</v>
      </c>
      <c r="E850" s="553" t="s">
        <v>5750</v>
      </c>
    </row>
    <row r="851" spans="1:5">
      <c r="A851" s="295" t="str">
        <f t="shared" si="12"/>
        <v>Antibiotic Susceptibility Testing</v>
      </c>
      <c r="B851" s="26" t="s">
        <v>275</v>
      </c>
      <c r="C851" s="26" t="s">
        <v>2523</v>
      </c>
      <c r="D851" s="288" t="s">
        <v>2998</v>
      </c>
      <c r="E851" s="553" t="s">
        <v>5751</v>
      </c>
    </row>
    <row r="852" spans="1:5" ht="386.4">
      <c r="A852" s="295" t="str">
        <f t="shared" si="12"/>
        <v>Standard: Newly hired lab staff should be assessed for competency before performing independent duties and again within six months. All lab staff should be regularly assessed for testing competency at least once a year. Staff assigned to a new section should be assessed before fully assuming independent duties. When deficiencies are noted, retraining and reassessment should be planned and documented. If the employee’s competency remains below standard, further action might include supervisory review of work, re-assignment of duties, or other appropriate actions. Records of competency assessments and resulting actions should be retained in personnel files and/or quality records. Records should show which skills were assessed, how those skills were measured, and who performed the assessment.</v>
      </c>
      <c r="B852" s="26" t="s">
        <v>82</v>
      </c>
      <c r="C852" s="362" t="s">
        <v>2657</v>
      </c>
      <c r="D852" s="288" t="s">
        <v>4092</v>
      </c>
      <c r="E852" s="553" t="s">
        <v>5752</v>
      </c>
    </row>
    <row r="853" spans="1:5" ht="27.6">
      <c r="A853" s="295" t="str">
        <f t="shared" si="12"/>
        <v>TOUBLESHOOTING, PROBLEM SOLVING, AND ROOT CAUSE ANALYSES</v>
      </c>
      <c r="B853" s="26" t="s">
        <v>854</v>
      </c>
      <c r="C853" s="26" t="s">
        <v>4681</v>
      </c>
      <c r="D853" s="170" t="s">
        <v>3717</v>
      </c>
      <c r="E853" s="553" t="s">
        <v>5753</v>
      </c>
    </row>
    <row r="854" spans="1:5" ht="55.2">
      <c r="A854" s="295" t="str">
        <f t="shared" si="12"/>
        <v>Is a root cause analysis performed when unacceptable QC results are obtained? (Request to see a recent example)</v>
      </c>
      <c r="B854" s="26" t="s">
        <v>855</v>
      </c>
      <c r="C854" s="26" t="s">
        <v>4682</v>
      </c>
      <c r="D854" s="288" t="s">
        <v>4093</v>
      </c>
      <c r="E854" s="553" t="s">
        <v>5754</v>
      </c>
    </row>
    <row r="855" spans="1:5" ht="41.4">
      <c r="A855" s="295" t="str">
        <f t="shared" si="12"/>
        <v>Is corrective action based on the findings of the root cause analysis documented?</v>
      </c>
      <c r="B855" s="26" t="s">
        <v>44</v>
      </c>
      <c r="C855" s="26" t="s">
        <v>4683</v>
      </c>
      <c r="D855" s="288" t="s">
        <v>4094</v>
      </c>
      <c r="E855" s="553" t="s">
        <v>5755</v>
      </c>
    </row>
    <row r="856" spans="1:5" ht="69">
      <c r="A856" s="295" t="str">
        <f t="shared" si="12"/>
        <v>Is there evidence the supervisor or Quality Officer has received adequate training on how to perform root-cause analysis of QC failures?</v>
      </c>
      <c r="B856" s="26" t="s">
        <v>2354</v>
      </c>
      <c r="C856" s="26" t="s">
        <v>2658</v>
      </c>
      <c r="D856" s="288" t="s">
        <v>4095</v>
      </c>
      <c r="E856" s="553" t="s">
        <v>5756</v>
      </c>
    </row>
    <row r="857" spans="1:5" ht="27.6">
      <c r="A857" s="295" t="str">
        <f t="shared" si="12"/>
        <v>1: Yes - 2: Some, but would like additional training - 3: No</v>
      </c>
      <c r="B857" s="26" t="s">
        <v>293</v>
      </c>
      <c r="C857" s="26" t="s">
        <v>2659</v>
      </c>
      <c r="D857" s="288" t="s">
        <v>4096</v>
      </c>
      <c r="E857" s="553" t="s">
        <v>5757</v>
      </c>
    </row>
    <row r="858" spans="1:5" ht="55.2">
      <c r="A858" s="295" t="str">
        <f t="shared" si="12"/>
        <v>Are patient results reported if QC of media, ID method, or AST method was not performed?</v>
      </c>
      <c r="B858" s="26" t="s">
        <v>856</v>
      </c>
      <c r="C858" s="26" t="s">
        <v>5758</v>
      </c>
      <c r="D858" s="288" t="s">
        <v>4097</v>
      </c>
      <c r="E858" s="553" t="s">
        <v>5759</v>
      </c>
    </row>
    <row r="859" spans="1:5" ht="69">
      <c r="A859" s="295" t="str">
        <f t="shared" si="12"/>
        <v>Are patient results reported if QC of media, ID method, or AST method failed to produce acceptable results?</v>
      </c>
      <c r="B859" s="26" t="s">
        <v>857</v>
      </c>
      <c r="C859" s="26" t="s">
        <v>4684</v>
      </c>
      <c r="D859" s="288" t="s">
        <v>4098</v>
      </c>
      <c r="E859" s="553" t="s">
        <v>5760</v>
      </c>
    </row>
    <row r="860" spans="1:5" ht="69">
      <c r="A860" s="295" t="str">
        <f t="shared" si="12"/>
        <v>Is there evidence that the lab troubleshoots unacceptable QC results for media, reagents, ID systems and AST methods?</v>
      </c>
      <c r="B860" s="26" t="s">
        <v>858</v>
      </c>
      <c r="C860" s="26" t="s">
        <v>5761</v>
      </c>
      <c r="D860" s="288" t="s">
        <v>4099</v>
      </c>
      <c r="E860" s="553" t="s">
        <v>5762</v>
      </c>
    </row>
    <row r="861" spans="1:5" ht="82.8">
      <c r="A861" s="295" t="str">
        <f t="shared" si="12"/>
        <v xml:space="preserve">If automated instruments are used for ID, (e.g., Vitek, Phoenix, Microscan) is there user manual or SOP that describes how to troubleshoot instrument failures? </v>
      </c>
      <c r="B861" s="26" t="s">
        <v>2075</v>
      </c>
      <c r="C861" s="26" t="s">
        <v>5763</v>
      </c>
      <c r="D861" s="288" t="s">
        <v>4100</v>
      </c>
      <c r="E861" s="553" t="s">
        <v>5764</v>
      </c>
    </row>
    <row r="862" spans="1:5" ht="27.6">
      <c r="A862" s="295" t="str">
        <f t="shared" si="12"/>
        <v>Check NA if lab does not use automated instrument</v>
      </c>
      <c r="B862" s="26" t="s">
        <v>114</v>
      </c>
      <c r="C862" s="26" t="s">
        <v>4685</v>
      </c>
      <c r="D862" s="288" t="s">
        <v>4101</v>
      </c>
      <c r="E862" s="553" t="s">
        <v>5765</v>
      </c>
    </row>
    <row r="863" spans="1:5" ht="27.6">
      <c r="A863" s="295" t="str">
        <f t="shared" si="12"/>
        <v>EXTERNAL QUALITY ASSESSMENT (EQA)</v>
      </c>
      <c r="B863" s="26" t="s">
        <v>2274</v>
      </c>
      <c r="C863" s="26" t="s">
        <v>4557</v>
      </c>
      <c r="D863" s="288" t="s">
        <v>2923</v>
      </c>
      <c r="E863" s="553" t="s">
        <v>5037</v>
      </c>
    </row>
    <row r="864" spans="1:5" ht="96.6">
      <c r="A864" s="295" t="str">
        <f t="shared" si="12"/>
        <v xml:space="preserve">How many times per year does the lab currently receive EQA/PT challenges that include both bacterial identification &amp; AST? (Please do not include challenges designed to focus on a single organism, e.g., TB or N. gonorrhoeae) </v>
      </c>
      <c r="B864" s="26" t="s">
        <v>6899</v>
      </c>
      <c r="C864" s="26" t="s">
        <v>5766</v>
      </c>
      <c r="D864" s="288" t="s">
        <v>4102</v>
      </c>
      <c r="E864" s="553" t="s">
        <v>6835</v>
      </c>
    </row>
    <row r="865" spans="1:5" ht="69">
      <c r="A865" s="295" t="str">
        <f t="shared" si="12"/>
        <v>1: One time per year; 2: Two times per year; 3: Three times per year or more; 4: Zero (if zero, please answer the next question, then skip to next section)</v>
      </c>
      <c r="B865" s="72" t="s">
        <v>2355</v>
      </c>
      <c r="C865" s="8" t="s">
        <v>2660</v>
      </c>
      <c r="D865" s="72" t="s">
        <v>3061</v>
      </c>
      <c r="E865" s="553" t="s">
        <v>5767</v>
      </c>
    </row>
    <row r="866" spans="1:5" ht="41.4">
      <c r="A866" s="295" t="str">
        <f t="shared" ref="A866:A929" si="13">IF(langue=1,B866,IF(langue=2,C866,IF(langue=3,D866,IF(langue=4,E866,F866))))</f>
        <v>If the lab does not participate in an EQA program, what is the reason? (Informational, not scored)</v>
      </c>
      <c r="B866" s="26" t="s">
        <v>1580</v>
      </c>
      <c r="C866" s="26" t="s">
        <v>4686</v>
      </c>
      <c r="D866" s="288" t="s">
        <v>4103</v>
      </c>
      <c r="E866" s="553" t="s">
        <v>5768</v>
      </c>
    </row>
    <row r="867" spans="1:5" ht="27.6">
      <c r="A867" s="295" t="str">
        <f t="shared" si="13"/>
        <v>Is the EQA/PT provider ISO-17043 accredited?</v>
      </c>
      <c r="B867" s="26" t="s">
        <v>771</v>
      </c>
      <c r="C867" s="26" t="s">
        <v>5769</v>
      </c>
      <c r="D867" s="288" t="s">
        <v>4104</v>
      </c>
      <c r="E867" s="553" t="s">
        <v>6836</v>
      </c>
    </row>
    <row r="868" spans="1:5" ht="27.6">
      <c r="A868" s="295" t="str">
        <f t="shared" si="13"/>
        <v>Please list provider in comments</v>
      </c>
      <c r="B868" s="8" t="s">
        <v>1584</v>
      </c>
      <c r="C868" s="8" t="s">
        <v>5770</v>
      </c>
      <c r="D868" s="290" t="s">
        <v>4105</v>
      </c>
      <c r="E868" s="553" t="s">
        <v>5771</v>
      </c>
    </row>
    <row r="869" spans="1:5" ht="55.2">
      <c r="A869" s="295" t="str">
        <f t="shared" si="13"/>
        <v>Are the test methods used on EQA isolates the same as the test methods used for routine patient isolates?</v>
      </c>
      <c r="B869" s="26" t="s">
        <v>1629</v>
      </c>
      <c r="C869" s="26" t="s">
        <v>4687</v>
      </c>
      <c r="D869" s="170" t="s">
        <v>4106</v>
      </c>
      <c r="E869" s="553" t="s">
        <v>5772</v>
      </c>
    </row>
    <row r="870" spans="1:5" ht="55.2">
      <c r="A870" s="295" t="str">
        <f t="shared" si="13"/>
        <v>Does the lab ever perform additional testing on an EQA isolate compared to what would be performed on a typical patient isolate?</v>
      </c>
      <c r="B870" s="26" t="s">
        <v>1581</v>
      </c>
      <c r="C870" s="26" t="s">
        <v>4688</v>
      </c>
      <c r="D870" s="288" t="s">
        <v>4107</v>
      </c>
      <c r="E870" s="553" t="s">
        <v>5773</v>
      </c>
    </row>
    <row r="871" spans="1:5" ht="55.2">
      <c r="A871" s="295" t="str">
        <f t="shared" si="13"/>
        <v>Does the lab ever send EQA isolates to another lab for confirmation before submitting results?</v>
      </c>
      <c r="B871" s="26" t="s">
        <v>1582</v>
      </c>
      <c r="C871" s="26" t="s">
        <v>2661</v>
      </c>
      <c r="D871" s="288" t="s">
        <v>4108</v>
      </c>
      <c r="E871" s="553" t="s">
        <v>5774</v>
      </c>
    </row>
    <row r="872" spans="1:5" ht="55.2">
      <c r="A872" s="295" t="str">
        <f t="shared" si="13"/>
        <v>Does the lab ever call another lab to ask what their EQA result was before submitting results?</v>
      </c>
      <c r="B872" s="26" t="s">
        <v>1583</v>
      </c>
      <c r="C872" s="26" t="s">
        <v>4689</v>
      </c>
      <c r="D872" s="288" t="s">
        <v>4109</v>
      </c>
      <c r="E872" s="553" t="s">
        <v>5775</v>
      </c>
    </row>
    <row r="873" spans="1:5" ht="82.8">
      <c r="A873" s="295" t="str">
        <f t="shared" si="13"/>
        <v>Are PT/EQA specimens tested by the same staff performing patient testing? (Look for evidence that all staff participate in the challenges, not only supervisors or senior staff)</v>
      </c>
      <c r="B873" s="26" t="s">
        <v>2647</v>
      </c>
      <c r="C873" s="26" t="s">
        <v>5776</v>
      </c>
      <c r="D873" s="288" t="s">
        <v>4110</v>
      </c>
      <c r="E873" s="553" t="s">
        <v>5777</v>
      </c>
    </row>
    <row r="874" spans="1:5" ht="55.2">
      <c r="A874" s="295" t="str">
        <f t="shared" si="13"/>
        <v xml:space="preserve">On average, how long does the lab have to wait before receiving the results of their PT/EQA performance? </v>
      </c>
      <c r="B874" s="26" t="s">
        <v>120</v>
      </c>
      <c r="C874" s="26" t="s">
        <v>5778</v>
      </c>
      <c r="D874" s="170" t="s">
        <v>4111</v>
      </c>
      <c r="E874" s="553" t="s">
        <v>5779</v>
      </c>
    </row>
    <row r="875" spans="1:5" ht="27.6">
      <c r="A875" s="295" t="str">
        <f t="shared" si="13"/>
        <v>1: Less than 2 months; 2: 2 – 6 months; 3: More than 6 months; NA: no EQA</v>
      </c>
      <c r="B875" s="26" t="s">
        <v>772</v>
      </c>
      <c r="C875" s="26" t="s">
        <v>2662</v>
      </c>
      <c r="D875" s="288" t="s">
        <v>3062</v>
      </c>
      <c r="E875" s="553" t="s">
        <v>5780</v>
      </c>
    </row>
    <row r="876" spans="1:5" ht="55.2">
      <c r="A876" s="295" t="str">
        <f t="shared" si="13"/>
        <v xml:space="preserve">Review the 3 most recent EQA challenges for organism identification. On how many did the lab score &gt;80%? </v>
      </c>
      <c r="B876" s="26" t="s">
        <v>6900</v>
      </c>
      <c r="C876" s="26" t="s">
        <v>6901</v>
      </c>
      <c r="D876" s="288" t="s">
        <v>6903</v>
      </c>
      <c r="E876" s="553" t="s">
        <v>6902</v>
      </c>
    </row>
    <row r="877" spans="1:5" ht="27.6">
      <c r="A877" s="295" t="str">
        <f t="shared" si="13"/>
        <v>If scores are not made available to review, select "None"</v>
      </c>
      <c r="B877" s="26" t="s">
        <v>2376</v>
      </c>
      <c r="C877" s="26" t="s">
        <v>5781</v>
      </c>
      <c r="D877" s="288" t="s">
        <v>4112</v>
      </c>
      <c r="E877" s="553" t="s">
        <v>5782</v>
      </c>
    </row>
    <row r="878" spans="1:5" ht="41.4">
      <c r="A878" s="295" t="str">
        <f t="shared" si="13"/>
        <v xml:space="preserve">Review the 3 most recent EQA challenges for AST. On how many did the lab score &gt;80%? </v>
      </c>
      <c r="B878" s="26" t="s">
        <v>6904</v>
      </c>
      <c r="C878" s="26" t="s">
        <v>6905</v>
      </c>
      <c r="D878" s="288" t="s">
        <v>6906</v>
      </c>
      <c r="E878" s="553" t="s">
        <v>6907</v>
      </c>
    </row>
    <row r="879" spans="1:5" ht="27.6">
      <c r="A879" s="295" t="str">
        <f t="shared" si="13"/>
        <v>If scores are not made available to review, select "None"</v>
      </c>
      <c r="B879" s="26" t="s">
        <v>2376</v>
      </c>
      <c r="C879" s="26" t="s">
        <v>5781</v>
      </c>
      <c r="D879" s="288" t="s">
        <v>4112</v>
      </c>
      <c r="E879" s="553" t="s">
        <v>5782</v>
      </c>
    </row>
    <row r="880" spans="1:5" ht="55.2">
      <c r="A880" s="295" t="str">
        <f t="shared" si="13"/>
        <v>Is a root cause analysis performed when unacceptable PT/EQA results are obtained? (Request to see a recent example)</v>
      </c>
      <c r="B880" s="26" t="s">
        <v>43</v>
      </c>
      <c r="C880" s="26" t="s">
        <v>5783</v>
      </c>
      <c r="D880" s="288" t="s">
        <v>4113</v>
      </c>
      <c r="E880" s="553" t="s">
        <v>5784</v>
      </c>
    </row>
    <row r="881" spans="1:5" ht="41.4">
      <c r="A881" s="295" t="str">
        <f t="shared" si="13"/>
        <v>Is corrective action based on the findings of the root cause analysis documented?</v>
      </c>
      <c r="B881" s="26" t="s">
        <v>44</v>
      </c>
      <c r="C881" s="26" t="s">
        <v>4690</v>
      </c>
      <c r="D881" s="288" t="s">
        <v>4094</v>
      </c>
      <c r="E881" s="553" t="s">
        <v>5755</v>
      </c>
    </row>
    <row r="882" spans="1:5" ht="69">
      <c r="A882" s="295" t="str">
        <f t="shared" si="13"/>
        <v>Is there evidence the supervisor or Quality Officer has received adequate training on how to perform root-cause analysis for EQA failures?</v>
      </c>
      <c r="B882" s="26" t="s">
        <v>2353</v>
      </c>
      <c r="C882" s="26" t="s">
        <v>4691</v>
      </c>
      <c r="D882" s="288" t="s">
        <v>4114</v>
      </c>
      <c r="E882" s="553" t="s">
        <v>5785</v>
      </c>
    </row>
    <row r="883" spans="1:5" ht="27.6">
      <c r="A883" s="295" t="str">
        <f t="shared" si="13"/>
        <v>1: Yes - 2: Some, but would like additional training - 3: No</v>
      </c>
      <c r="B883" s="26" t="s">
        <v>293</v>
      </c>
      <c r="C883" s="26" t="s">
        <v>2659</v>
      </c>
      <c r="D883" s="288" t="s">
        <v>4096</v>
      </c>
      <c r="E883" s="553" t="s">
        <v>5786</v>
      </c>
    </row>
    <row r="884" spans="1:5" ht="41.4">
      <c r="A884" s="295" t="str">
        <f t="shared" si="13"/>
        <v xml:space="preserve">Is laboratory leadership notified of all unacceptable EQA results as soon as they are received? </v>
      </c>
      <c r="B884" s="26" t="s">
        <v>45</v>
      </c>
      <c r="C884" s="26" t="s">
        <v>5787</v>
      </c>
      <c r="D884" s="170" t="s">
        <v>4115</v>
      </c>
      <c r="E884" s="553" t="s">
        <v>5788</v>
      </c>
    </row>
    <row r="885" spans="1:5" ht="27.6">
      <c r="A885" s="295" t="str">
        <f t="shared" si="13"/>
        <v>5- MEDIA PREPARATION AND QUALITY CONTROL</v>
      </c>
      <c r="B885" s="26" t="s">
        <v>2304</v>
      </c>
      <c r="C885" s="26" t="s">
        <v>4692</v>
      </c>
      <c r="D885" s="288" t="s">
        <v>3063</v>
      </c>
      <c r="E885" s="553" t="s">
        <v>5789</v>
      </c>
    </row>
    <row r="886" spans="1:5">
      <c r="A886" s="295" t="str">
        <f t="shared" si="13"/>
        <v>MEDIA PREPARATION SOPs</v>
      </c>
      <c r="B886" s="26" t="s">
        <v>849</v>
      </c>
      <c r="C886" s="26" t="s">
        <v>5039</v>
      </c>
      <c r="D886" s="170" t="s">
        <v>3719</v>
      </c>
      <c r="E886" s="553" t="s">
        <v>5790</v>
      </c>
    </row>
    <row r="887" spans="1:5" ht="41.4">
      <c r="A887" s="295" t="str">
        <f t="shared" si="13"/>
        <v xml:space="preserve">Are  media-specific SOPs in place for each type of media reconstituted in house? </v>
      </c>
      <c r="B887" s="26" t="s">
        <v>109</v>
      </c>
      <c r="C887" s="26" t="s">
        <v>5791</v>
      </c>
      <c r="D887" s="288" t="s">
        <v>4116</v>
      </c>
      <c r="E887" s="553" t="s">
        <v>5792</v>
      </c>
    </row>
    <row r="888" spans="1:5" ht="41.4">
      <c r="A888" s="295" t="str">
        <f t="shared" si="13"/>
        <v>Do all media preparation records including the following?</v>
      </c>
      <c r="B888" s="26" t="s">
        <v>850</v>
      </c>
      <c r="C888" s="26" t="s">
        <v>4693</v>
      </c>
      <c r="D888" s="288" t="s">
        <v>4117</v>
      </c>
      <c r="E888" s="553" t="s">
        <v>5793</v>
      </c>
    </row>
    <row r="889" spans="1:5">
      <c r="A889" s="295" t="str">
        <f t="shared" si="13"/>
        <v>Name of media</v>
      </c>
      <c r="B889" s="26" t="s">
        <v>1930</v>
      </c>
      <c r="C889" s="26" t="s">
        <v>5794</v>
      </c>
      <c r="D889" s="288" t="s">
        <v>3064</v>
      </c>
      <c r="E889" s="553" t="s">
        <v>5795</v>
      </c>
    </row>
    <row r="890" spans="1:5">
      <c r="A890" s="295" t="str">
        <f t="shared" si="13"/>
        <v>Date of preparation</v>
      </c>
      <c r="B890" s="26" t="s">
        <v>1931</v>
      </c>
      <c r="C890" s="26" t="s">
        <v>2671</v>
      </c>
      <c r="D890" s="288" t="s">
        <v>3065</v>
      </c>
      <c r="E890" s="553" t="s">
        <v>5796</v>
      </c>
    </row>
    <row r="891" spans="1:5">
      <c r="A891" s="295" t="str">
        <f t="shared" si="13"/>
        <v>Batch number</v>
      </c>
      <c r="B891" s="26" t="s">
        <v>1932</v>
      </c>
      <c r="C891" s="26" t="s">
        <v>2672</v>
      </c>
      <c r="D891" s="288" t="s">
        <v>3066</v>
      </c>
      <c r="E891" s="553" t="s">
        <v>5797</v>
      </c>
    </row>
    <row r="892" spans="1:5">
      <c r="A892" s="295" t="str">
        <f t="shared" si="13"/>
        <v>Quantity made</v>
      </c>
      <c r="B892" s="26" t="s">
        <v>1933</v>
      </c>
      <c r="C892" s="26" t="s">
        <v>4694</v>
      </c>
      <c r="D892" s="288" t="s">
        <v>3067</v>
      </c>
      <c r="E892" s="553" t="s">
        <v>5798</v>
      </c>
    </row>
    <row r="893" spans="1:5">
      <c r="A893" s="295" t="str">
        <f t="shared" si="13"/>
        <v>pH</v>
      </c>
      <c r="B893" s="26" t="s">
        <v>914</v>
      </c>
      <c r="C893" s="26" t="s">
        <v>914</v>
      </c>
      <c r="D893" s="288" t="s">
        <v>914</v>
      </c>
      <c r="E893" s="553" t="s">
        <v>914</v>
      </c>
    </row>
    <row r="894" spans="1:5">
      <c r="A894" s="295" t="str">
        <f t="shared" si="13"/>
        <v>Name of preparer</v>
      </c>
      <c r="B894" s="26" t="s">
        <v>1934</v>
      </c>
      <c r="C894" s="26" t="s">
        <v>2673</v>
      </c>
      <c r="D894" s="288" t="s">
        <v>4118</v>
      </c>
      <c r="E894" s="553" t="s">
        <v>5799</v>
      </c>
    </row>
    <row r="895" spans="1:5">
      <c r="A895" s="295" t="str">
        <f t="shared" si="13"/>
        <v>Expiration Date</v>
      </c>
      <c r="B895" s="94" t="s">
        <v>1935</v>
      </c>
      <c r="C895" s="94" t="s">
        <v>2674</v>
      </c>
      <c r="D895" s="293" t="s">
        <v>3068</v>
      </c>
      <c r="E895" s="553" t="s">
        <v>5800</v>
      </c>
    </row>
    <row r="896" spans="1:5" ht="55.2">
      <c r="A896" s="295" t="str">
        <f t="shared" si="13"/>
        <v>Observe the media reconstituted in house, is each batch clearly labeled with the following?</v>
      </c>
      <c r="B896" s="26" t="s">
        <v>726</v>
      </c>
      <c r="C896" s="26" t="s">
        <v>5801</v>
      </c>
      <c r="D896" s="288" t="s">
        <v>4119</v>
      </c>
      <c r="E896" s="553" t="s">
        <v>5802</v>
      </c>
    </row>
    <row r="897" spans="1:5">
      <c r="A897" s="295" t="str">
        <f t="shared" si="13"/>
        <v>Name of media</v>
      </c>
      <c r="B897" s="26" t="s">
        <v>1930</v>
      </c>
      <c r="C897" s="26" t="s">
        <v>5794</v>
      </c>
      <c r="D897" s="288" t="s">
        <v>3064</v>
      </c>
      <c r="E897" s="553" t="s">
        <v>5795</v>
      </c>
    </row>
    <row r="898" spans="1:5">
      <c r="A898" s="295" t="str">
        <f t="shared" si="13"/>
        <v>Date of preparation</v>
      </c>
      <c r="B898" s="26" t="s">
        <v>1931</v>
      </c>
      <c r="C898" s="26" t="s">
        <v>2671</v>
      </c>
      <c r="D898" s="288" t="s">
        <v>3065</v>
      </c>
      <c r="E898" s="553" t="s">
        <v>5803</v>
      </c>
    </row>
    <row r="899" spans="1:5">
      <c r="A899" s="295" t="str">
        <f t="shared" si="13"/>
        <v>Expiration date</v>
      </c>
      <c r="B899" s="26" t="s">
        <v>1936</v>
      </c>
      <c r="C899" s="26" t="s">
        <v>2674</v>
      </c>
      <c r="D899" s="288" t="s">
        <v>3068</v>
      </c>
      <c r="E899" s="553" t="s">
        <v>5800</v>
      </c>
    </row>
    <row r="900" spans="1:5">
      <c r="A900" s="295" t="str">
        <f t="shared" si="13"/>
        <v>Date opened</v>
      </c>
      <c r="B900" s="26" t="s">
        <v>1937</v>
      </c>
      <c r="C900" s="26" t="s">
        <v>2675</v>
      </c>
      <c r="D900" s="288" t="s">
        <v>3069</v>
      </c>
      <c r="E900" s="553" t="s">
        <v>5804</v>
      </c>
    </row>
    <row r="901" spans="1:5">
      <c r="A901" s="295" t="str">
        <f t="shared" si="13"/>
        <v xml:space="preserve">GENERAL MEDIA PREPARATION </v>
      </c>
      <c r="B901" s="26" t="s">
        <v>717</v>
      </c>
      <c r="C901" s="26" t="s">
        <v>4695</v>
      </c>
      <c r="D901" s="288" t="s">
        <v>2925</v>
      </c>
      <c r="E901" s="553" t="s">
        <v>5805</v>
      </c>
    </row>
    <row r="902" spans="1:5" ht="55.2">
      <c r="A902" s="295" t="str">
        <f t="shared" si="13"/>
        <v>Is media prepared in a separate room, apart from the room where specimens and cultures are processed?</v>
      </c>
      <c r="B902" s="26" t="s">
        <v>1804</v>
      </c>
      <c r="C902" s="26" t="s">
        <v>4696</v>
      </c>
      <c r="D902" s="288" t="s">
        <v>4120</v>
      </c>
      <c r="E902" s="553" t="s">
        <v>5806</v>
      </c>
    </row>
    <row r="903" spans="1:5" ht="27.6">
      <c r="A903" s="295" t="str">
        <f t="shared" si="13"/>
        <v>Is media prepared in a clean room?</v>
      </c>
      <c r="B903" s="26" t="s">
        <v>1805</v>
      </c>
      <c r="C903" s="26" t="s">
        <v>4697</v>
      </c>
      <c r="D903" s="288" t="s">
        <v>4121</v>
      </c>
      <c r="E903" s="553" t="s">
        <v>5807</v>
      </c>
    </row>
    <row r="904" spans="1:5" ht="41.4">
      <c r="A904" s="295" t="str">
        <f t="shared" si="13"/>
        <v>Is deionized water (DI) or distilled water used to prepare all media?</v>
      </c>
      <c r="B904" s="26" t="s">
        <v>848</v>
      </c>
      <c r="C904" s="26" t="s">
        <v>2676</v>
      </c>
      <c r="D904" s="288" t="s">
        <v>3070</v>
      </c>
      <c r="E904" s="553" t="s">
        <v>5808</v>
      </c>
    </row>
    <row r="905" spans="1:5" ht="41.4">
      <c r="A905" s="295" t="str">
        <f t="shared" si="13"/>
        <v>Are the media suspensions mixed with a magnetic stir bar while boiling?</v>
      </c>
      <c r="B905" s="26" t="s">
        <v>1811</v>
      </c>
      <c r="C905" s="26" t="s">
        <v>5809</v>
      </c>
      <c r="D905" s="288" t="s">
        <v>4122</v>
      </c>
      <c r="E905" s="553" t="s">
        <v>5810</v>
      </c>
    </row>
    <row r="906" spans="1:5" ht="41.4">
      <c r="A906" s="295" t="str">
        <f t="shared" si="13"/>
        <v>Is the dissolved suspension autoclaved in a clean autoclave at 15 psi, 121°C, for &gt;15 minutes?</v>
      </c>
      <c r="B906" s="26" t="s">
        <v>6908</v>
      </c>
      <c r="C906" s="26" t="s">
        <v>6909</v>
      </c>
      <c r="D906" s="288" t="s">
        <v>6910</v>
      </c>
      <c r="E906" s="553" t="s">
        <v>6911</v>
      </c>
    </row>
    <row r="907" spans="1:5" ht="55.2">
      <c r="A907" s="295" t="str">
        <f t="shared" si="13"/>
        <v>Is the autoclaved suspension cooled to 45-50°C before adding additional compounds (e.g., blood)?</v>
      </c>
      <c r="B907" s="26" t="s">
        <v>6912</v>
      </c>
      <c r="C907" s="26" t="s">
        <v>2677</v>
      </c>
      <c r="D907" s="288" t="s">
        <v>4123</v>
      </c>
      <c r="E907" s="553" t="s">
        <v>5811</v>
      </c>
    </row>
    <row r="908" spans="1:5" ht="41.4">
      <c r="A908" s="295" t="str">
        <f t="shared" si="13"/>
        <v>What is the source of the blood used to make the blood agar, chocolate, and/or MHB plates?</v>
      </c>
      <c r="B908" s="26" t="s">
        <v>852</v>
      </c>
      <c r="C908" s="26" t="s">
        <v>5812</v>
      </c>
      <c r="D908" s="288" t="s">
        <v>4124</v>
      </c>
      <c r="E908" s="553" t="s">
        <v>5813</v>
      </c>
    </row>
    <row r="909" spans="1:5" ht="55.2">
      <c r="A909" s="295" t="str">
        <f t="shared" si="13"/>
        <v xml:space="preserve">1: Sheep’s blood - 2: Human blood (e.g., from expired packed cells) - 3: Other source (please describe in comments) </v>
      </c>
      <c r="B909" s="26" t="s">
        <v>111</v>
      </c>
      <c r="C909" s="26" t="s">
        <v>5814</v>
      </c>
      <c r="D909" s="170" t="s">
        <v>4125</v>
      </c>
      <c r="E909" s="553" t="s">
        <v>5815</v>
      </c>
    </row>
    <row r="910" spans="1:5" ht="27.6">
      <c r="A910" s="295" t="str">
        <f t="shared" si="13"/>
        <v xml:space="preserve">Is the pH recorded for all media prepared in house? </v>
      </c>
      <c r="B910" s="26" t="s">
        <v>2663</v>
      </c>
      <c r="C910" s="26" t="s">
        <v>2678</v>
      </c>
      <c r="D910" s="288" t="s">
        <v>4126</v>
      </c>
      <c r="E910" s="553" t="s">
        <v>5816</v>
      </c>
    </row>
    <row r="911" spans="1:5" ht="41.4">
      <c r="A911" s="295" t="str">
        <f t="shared" si="13"/>
        <v>Is all prepared media stored at 2-8°C until use?</v>
      </c>
      <c r="B911" s="26" t="s">
        <v>1557</v>
      </c>
      <c r="C911" s="26" t="s">
        <v>2679</v>
      </c>
      <c r="D911" s="288" t="s">
        <v>4127</v>
      </c>
      <c r="E911" s="553" t="s">
        <v>5817</v>
      </c>
    </row>
    <row r="912" spans="1:5" ht="41.4">
      <c r="A912" s="295" t="str">
        <f t="shared" si="13"/>
        <v>Are plates stored inside bags/sleeves to avoid dehydration?</v>
      </c>
      <c r="B912" s="26" t="s">
        <v>6913</v>
      </c>
      <c r="C912" s="26" t="s">
        <v>4698</v>
      </c>
      <c r="D912" s="170" t="s">
        <v>3071</v>
      </c>
      <c r="E912" s="553" t="s">
        <v>5818</v>
      </c>
    </row>
    <row r="913" spans="1:5" ht="27.6">
      <c r="A913" s="295" t="str">
        <f t="shared" si="13"/>
        <v xml:space="preserve">DISTILLED/DEIONIZED WATER PREPARATION </v>
      </c>
      <c r="B913" s="83" t="s">
        <v>1556</v>
      </c>
      <c r="C913" s="37" t="s">
        <v>2444</v>
      </c>
      <c r="D913" s="83" t="s">
        <v>2926</v>
      </c>
      <c r="E913" s="553" t="s">
        <v>5819</v>
      </c>
    </row>
    <row r="914" spans="1:5" ht="55.2">
      <c r="A914" s="295" t="str">
        <f t="shared" si="13"/>
        <v xml:space="preserve">If the lab or facility produces it's own distilled or deionized water, are QC records present for the following? </v>
      </c>
      <c r="B914" s="26" t="s">
        <v>2275</v>
      </c>
      <c r="C914" s="26" t="s">
        <v>4699</v>
      </c>
      <c r="D914" s="288" t="s">
        <v>4128</v>
      </c>
      <c r="E914" s="553" t="s">
        <v>5820</v>
      </c>
    </row>
    <row r="915" spans="1:5">
      <c r="A915" s="295" t="str">
        <f t="shared" si="13"/>
        <v>Conductimetry</v>
      </c>
      <c r="B915" s="26" t="s">
        <v>913</v>
      </c>
      <c r="C915" s="26" t="s">
        <v>2680</v>
      </c>
      <c r="D915" s="288" t="s">
        <v>3072</v>
      </c>
      <c r="E915" s="553" t="s">
        <v>5821</v>
      </c>
    </row>
    <row r="916" spans="1:5">
      <c r="A916" s="295" t="str">
        <f t="shared" si="13"/>
        <v>pH</v>
      </c>
      <c r="B916" s="26" t="s">
        <v>914</v>
      </c>
      <c r="C916" s="26" t="s">
        <v>914</v>
      </c>
      <c r="D916" s="288" t="s">
        <v>914</v>
      </c>
      <c r="E916" s="553" t="s">
        <v>914</v>
      </c>
    </row>
    <row r="917" spans="1:5">
      <c r="A917" s="295" t="str">
        <f t="shared" si="13"/>
        <v>Sterility</v>
      </c>
      <c r="B917" s="26" t="s">
        <v>915</v>
      </c>
      <c r="C917" s="26" t="s">
        <v>2681</v>
      </c>
      <c r="D917" s="288" t="s">
        <v>3073</v>
      </c>
      <c r="E917" s="553" t="s">
        <v>5822</v>
      </c>
    </row>
    <row r="918" spans="1:5" ht="69">
      <c r="A918" s="295" t="str">
        <f t="shared" si="13"/>
        <v xml:space="preserve">If the lab purchases distilled or deionized water, does it come with a Certificate of Analysis demonstrating proper pH, sterility and conductimetry? </v>
      </c>
      <c r="B918" s="26" t="s">
        <v>2276</v>
      </c>
      <c r="C918" s="26" t="s">
        <v>2682</v>
      </c>
      <c r="D918" s="288" t="s">
        <v>4129</v>
      </c>
      <c r="E918" s="553" t="s">
        <v>5823</v>
      </c>
    </row>
    <row r="919" spans="1:5">
      <c r="A919" s="295" t="str">
        <f t="shared" si="13"/>
        <v>ROUTINE MEDIA QC</v>
      </c>
      <c r="B919" s="26" t="s">
        <v>725</v>
      </c>
      <c r="C919" s="26" t="s">
        <v>4559</v>
      </c>
      <c r="D919" s="170" t="s">
        <v>3720</v>
      </c>
      <c r="E919" s="553" t="s">
        <v>5046</v>
      </c>
    </row>
    <row r="920" spans="1:5" ht="41.4">
      <c r="A920" s="295" t="str">
        <f t="shared" si="13"/>
        <v xml:space="preserve">Are new batches of media checked for sterility by incubating a portion of un-inoculated plates? </v>
      </c>
      <c r="B920" s="26" t="s">
        <v>2377</v>
      </c>
      <c r="C920" s="26" t="s">
        <v>5824</v>
      </c>
      <c r="D920" s="288" t="s">
        <v>3074</v>
      </c>
      <c r="E920" s="553" t="s">
        <v>5825</v>
      </c>
    </row>
    <row r="921" spans="1:5" ht="41.4">
      <c r="A921" s="295" t="str">
        <f t="shared" si="13"/>
        <v>Are media quality controlled by using ATCC or ATCC-derivative strains?</v>
      </c>
      <c r="B921" s="26" t="s">
        <v>284</v>
      </c>
      <c r="C921" s="26" t="s">
        <v>4700</v>
      </c>
      <c r="D921" s="288" t="s">
        <v>3075</v>
      </c>
      <c r="E921" s="553" t="s">
        <v>5826</v>
      </c>
    </row>
    <row r="922" spans="1:5">
      <c r="A922" s="295" t="str">
        <f t="shared" si="13"/>
        <v>1: All - 2: Some - 3: None</v>
      </c>
      <c r="B922" s="26" t="s">
        <v>250</v>
      </c>
      <c r="C922" s="26" t="s">
        <v>2683</v>
      </c>
      <c r="D922" s="288" t="s">
        <v>3076</v>
      </c>
      <c r="E922" s="553" t="s">
        <v>5827</v>
      </c>
    </row>
    <row r="923" spans="1:5" ht="69">
      <c r="A923" s="295" t="str">
        <f t="shared" si="13"/>
        <v xml:space="preserve">Do records demonstrate that QC is performed on each newly reconstituted batch or newly received lot number/shipment of media? </v>
      </c>
      <c r="B923" s="26" t="s">
        <v>34</v>
      </c>
      <c r="C923" s="26" t="s">
        <v>5828</v>
      </c>
      <c r="D923" s="170" t="s">
        <v>4130</v>
      </c>
      <c r="E923" s="553" t="s">
        <v>5829</v>
      </c>
    </row>
    <row r="924" spans="1:5" ht="82.8">
      <c r="A924" s="295" t="str">
        <f t="shared" si="13"/>
        <v xml:space="preserve">Do QC records for blood agar plates (BAP) demonstrate that they are checked for their ability to support growth of fastidious organisms such as Streptococcus pneumoniae? </v>
      </c>
      <c r="B924" s="26" t="s">
        <v>6914</v>
      </c>
      <c r="C924" s="26" t="s">
        <v>4701</v>
      </c>
      <c r="D924" s="288" t="s">
        <v>4131</v>
      </c>
      <c r="E924" s="553" t="s">
        <v>5830</v>
      </c>
    </row>
    <row r="925" spans="1:5" ht="69">
      <c r="A925" s="295" t="str">
        <f t="shared" si="13"/>
        <v xml:space="preserve">Do QC records for BAP demonstrate that they are checked for their ability to show alpha, beta, and gamma hemolysis? </v>
      </c>
      <c r="B925" s="26" t="s">
        <v>6915</v>
      </c>
      <c r="C925" s="26" t="s">
        <v>7145</v>
      </c>
      <c r="D925" s="288" t="s">
        <v>7146</v>
      </c>
      <c r="E925" s="553" t="s">
        <v>7147</v>
      </c>
    </row>
    <row r="926" spans="1:5" ht="82.8">
      <c r="A926" s="295" t="str">
        <f t="shared" si="13"/>
        <v>Do QC records for chocolate agar plates demonstrate that they are checked for their ability to support the growth of fastidious organisms, such as Neisseria gonorrhoeae or H. influenzae?</v>
      </c>
      <c r="B926" s="26" t="s">
        <v>6916</v>
      </c>
      <c r="C926" s="26" t="s">
        <v>6917</v>
      </c>
      <c r="D926" s="288" t="s">
        <v>6918</v>
      </c>
      <c r="E926" s="553" t="s">
        <v>5831</v>
      </c>
    </row>
    <row r="927" spans="1:5" ht="138">
      <c r="A927" s="295" t="str">
        <f t="shared" si="13"/>
        <v>MacConkey (MAC) and Eosin methylene blue (EMB) agars contain bile salts and/or dyes that are toxic for gram-positive bacteria when made properly. Do QC records for MAC and/or EMB plates demonstrate that each batch/lot is challenged using a gram-positive organism?</v>
      </c>
      <c r="B927" s="26" t="s">
        <v>6919</v>
      </c>
      <c r="C927" s="26" t="s">
        <v>4702</v>
      </c>
      <c r="D927" s="170" t="s">
        <v>4132</v>
      </c>
      <c r="E927" s="553" t="s">
        <v>5832</v>
      </c>
    </row>
    <row r="928" spans="1:5" ht="151.80000000000001">
      <c r="A928" s="295" t="str">
        <f t="shared" si="13"/>
        <v>Dyes and pH indicators in MAC and EMB plates provide a color indicator to distinguish between lactose fermenting (LF) and non-lactose fermenting (NLF) gram-negative organisms. Do QC records for MAC and/or EMB plates demonstrate that each batch/lot is challenged using both LF and NLF organisms?</v>
      </c>
      <c r="B928" s="26" t="s">
        <v>6920</v>
      </c>
      <c r="C928" s="26" t="s">
        <v>5833</v>
      </c>
      <c r="D928" s="288" t="s">
        <v>4133</v>
      </c>
      <c r="E928" s="553" t="s">
        <v>5834</v>
      </c>
    </row>
    <row r="929" spans="1:5" ht="82.8">
      <c r="A929" s="295" t="str">
        <f t="shared" si="13"/>
        <v>Do QC records for selective stool agar plates (e.g. XLD, SS, HE) demonstrate that they are checked for their ability to suppress the growth of Gram positive organisms?</v>
      </c>
      <c r="B929" s="26" t="s">
        <v>112</v>
      </c>
      <c r="C929" s="26" t="s">
        <v>4703</v>
      </c>
      <c r="D929" s="288" t="s">
        <v>4134</v>
      </c>
      <c r="E929" s="553" t="s">
        <v>5835</v>
      </c>
    </row>
    <row r="930" spans="1:5" ht="96.6">
      <c r="A930" s="295" t="str">
        <f t="shared" ref="A930:A992" si="14">IF(langue=1,B930,IF(langue=2,C930,IF(langue=3,D930,IF(langue=4,E930,F930))))</f>
        <v>Do QC records for selective stool agar plates demonstrate that they are checked for their ability to make hydrogen sulfide (H2S) production visible using a H2S producing organism, such as Salmonella spp or Proteus vulgaris?</v>
      </c>
      <c r="B930" s="26" t="s">
        <v>6923</v>
      </c>
      <c r="C930" s="26" t="s">
        <v>6924</v>
      </c>
      <c r="D930" s="170" t="s">
        <v>6921</v>
      </c>
      <c r="E930" s="553" t="s">
        <v>6922</v>
      </c>
    </row>
    <row r="931" spans="1:5" ht="96.6">
      <c r="A931" s="295" t="str">
        <f t="shared" si="14"/>
        <v>Do QC records for selective stool agar plates demonstrate that they are checked for their ability to make the acid byproducts of carbohydrate fermentation visible using both fermenters and nonfermenters?</v>
      </c>
      <c r="B931" s="26" t="s">
        <v>1939</v>
      </c>
      <c r="C931" s="26" t="s">
        <v>2684</v>
      </c>
      <c r="D931" s="170" t="s">
        <v>4135</v>
      </c>
      <c r="E931" s="553" t="s">
        <v>5836</v>
      </c>
    </row>
    <row r="932" spans="1:5" ht="179.4">
      <c r="A932" s="295" t="str">
        <f t="shared" si="14"/>
        <v>Standard: CAP MIC.21300; SANAS TG 28-02: 6.1 The suitable performance of culture media, diluents, and other suspensions prepared in-house should be checked, where relevant, with regard to recovery or survival maintenance of target organisms, inhibition or suppression of non-target organisms, biochemical (differential and diagnostic) properties, physical properties (e.g. pH, volume, and sterility).</v>
      </c>
      <c r="B932" s="26" t="s">
        <v>640</v>
      </c>
      <c r="C932" s="26" t="s">
        <v>2685</v>
      </c>
      <c r="D932" s="170" t="s">
        <v>4136</v>
      </c>
      <c r="E932" s="553" t="s">
        <v>5837</v>
      </c>
    </row>
    <row r="933" spans="1:5" ht="27.6">
      <c r="A933" s="295" t="str">
        <f t="shared" si="14"/>
        <v>MULLER HINTON MEDIA PREPARATION AND QC</v>
      </c>
      <c r="B933" s="26" t="s">
        <v>851</v>
      </c>
      <c r="C933" s="26" t="s">
        <v>4704</v>
      </c>
      <c r="D933" s="288" t="s">
        <v>3721</v>
      </c>
      <c r="E933" s="553" t="s">
        <v>5838</v>
      </c>
    </row>
    <row r="934" spans="1:5" ht="41.4">
      <c r="A934" s="295" t="str">
        <f t="shared" si="14"/>
        <v>Examine the lab’s Mueller Hinton plates and SOP for the following:</v>
      </c>
      <c r="B934" s="26" t="s">
        <v>110</v>
      </c>
      <c r="C934" s="26" t="s">
        <v>5839</v>
      </c>
      <c r="D934" s="288" t="s">
        <v>4137</v>
      </c>
      <c r="E934" s="553" t="s">
        <v>5840</v>
      </c>
    </row>
    <row r="935" spans="1:5" ht="69">
      <c r="A935" s="295" t="str">
        <f t="shared" si="14"/>
        <v>Does the dehydrated Mueller Hinton Agar (dHMA) meet ISO 16782 (CLSI M6) standards? (Low thymine/thymidine content, not supplemented with Mg++ or Ca++ cations)</v>
      </c>
      <c r="B935" s="26" t="s">
        <v>720</v>
      </c>
      <c r="C935" s="26" t="s">
        <v>5841</v>
      </c>
      <c r="D935" s="288" t="s">
        <v>3077</v>
      </c>
      <c r="E935" s="553" t="s">
        <v>5842</v>
      </c>
    </row>
    <row r="936" spans="1:5" ht="27.6">
      <c r="A936" s="295" t="str">
        <f t="shared" si="14"/>
        <v>Does the lab add calcium or magnesium cations to dMHA?</v>
      </c>
      <c r="B936" s="26" t="s">
        <v>719</v>
      </c>
      <c r="C936" s="26" t="s">
        <v>2686</v>
      </c>
      <c r="D936" s="288" t="s">
        <v>4138</v>
      </c>
      <c r="E936" s="553" t="s">
        <v>5843</v>
      </c>
    </row>
    <row r="937" spans="1:5" ht="55.2">
      <c r="A937" s="295" t="str">
        <f t="shared" si="14"/>
        <v>Immediately after autoclaving, is agar allowed to cool in a 45° - 50°C water bath?</v>
      </c>
      <c r="B937" s="26" t="s">
        <v>721</v>
      </c>
      <c r="C937" s="26" t="s">
        <v>7215</v>
      </c>
      <c r="D937" s="288" t="s">
        <v>7216</v>
      </c>
      <c r="E937" s="553" t="s">
        <v>7217</v>
      </c>
    </row>
    <row r="938" spans="1:5" ht="55.2">
      <c r="A938" s="295" t="str">
        <f t="shared" si="14"/>
        <v>Do plates have a uniform depth of approximately 4mm? Verify by examining a recent batch.</v>
      </c>
      <c r="B938" s="26" t="s">
        <v>1630</v>
      </c>
      <c r="C938" s="26" t="s">
        <v>5844</v>
      </c>
      <c r="D938" s="288" t="s">
        <v>4139</v>
      </c>
      <c r="E938" s="553" t="s">
        <v>5845</v>
      </c>
    </row>
    <row r="939" spans="1:5" ht="27.6">
      <c r="A939" s="295" t="str">
        <f t="shared" si="14"/>
        <v>Are plates poured on a level surface?</v>
      </c>
      <c r="B939" s="26" t="s">
        <v>722</v>
      </c>
      <c r="C939" s="26" t="s">
        <v>5846</v>
      </c>
      <c r="D939" s="288" t="s">
        <v>3078</v>
      </c>
      <c r="E939" s="553" t="s">
        <v>5847</v>
      </c>
    </row>
    <row r="940" spans="1:5" ht="41.4">
      <c r="A940" s="295" t="str">
        <f t="shared" si="14"/>
        <v>Do records demonstrate that pH is 7.2 – 7.4 for each batch?</v>
      </c>
      <c r="B940" s="26" t="s">
        <v>723</v>
      </c>
      <c r="C940" s="26" t="s">
        <v>2687</v>
      </c>
      <c r="D940" s="288" t="s">
        <v>4140</v>
      </c>
      <c r="E940" s="553" t="s">
        <v>5848</v>
      </c>
    </row>
    <row r="941" spans="1:5" ht="55.2">
      <c r="A941" s="295" t="str">
        <f t="shared" si="14"/>
        <v>Do records indicate that sterility is checked for each batch? (By incubating a portion of un-inoculated plates, ideally 5%)</v>
      </c>
      <c r="B941" s="26" t="s">
        <v>2076</v>
      </c>
      <c r="C941" s="26" t="s">
        <v>5849</v>
      </c>
      <c r="D941" s="288" t="s">
        <v>4141</v>
      </c>
      <c r="E941" s="553" t="s">
        <v>5850</v>
      </c>
    </row>
    <row r="942" spans="1:5" ht="27.6">
      <c r="A942" s="295" t="str">
        <f t="shared" si="14"/>
        <v>Are plates stored at 2-8°C until use?</v>
      </c>
      <c r="B942" s="26" t="s">
        <v>6925</v>
      </c>
      <c r="C942" s="26" t="s">
        <v>4705</v>
      </c>
      <c r="D942" s="288" t="s">
        <v>3079</v>
      </c>
      <c r="E942" s="553" t="s">
        <v>5851</v>
      </c>
    </row>
    <row r="943" spans="1:5" ht="41.4">
      <c r="A943" s="295" t="str">
        <f t="shared" si="14"/>
        <v>Are plates stored inside bags/sleeves to avoid dehydration?</v>
      </c>
      <c r="B943" s="26" t="s">
        <v>6913</v>
      </c>
      <c r="C943" s="26" t="s">
        <v>4706</v>
      </c>
      <c r="D943" s="170" t="s">
        <v>3071</v>
      </c>
      <c r="E943" s="553" t="s">
        <v>5852</v>
      </c>
    </row>
    <row r="944" spans="1:5" ht="96.6">
      <c r="A944" s="295" t="str">
        <f t="shared" si="14"/>
        <v>Do QC records indicate that each batch of Mueller Hinton agar is checked for its ability to produce expected zone sizes using the following ATCC reference strains and antibiotics?</v>
      </c>
      <c r="B944" s="26" t="s">
        <v>724</v>
      </c>
      <c r="C944" s="26" t="s">
        <v>5853</v>
      </c>
      <c r="D944" s="288" t="s">
        <v>4142</v>
      </c>
      <c r="E944" s="553" t="s">
        <v>5854</v>
      </c>
    </row>
    <row r="945" spans="1:5" ht="27.6">
      <c r="A945" s="295" t="str">
        <f t="shared" si="14"/>
        <v>Pseudomonas aeruginosa 27853 and gentamicin disk</v>
      </c>
      <c r="B945" s="26" t="s">
        <v>2667</v>
      </c>
      <c r="C945" s="26" t="s">
        <v>2688</v>
      </c>
      <c r="D945" s="288" t="s">
        <v>3080</v>
      </c>
      <c r="E945" s="553" t="s">
        <v>5855</v>
      </c>
    </row>
    <row r="946" spans="1:5" ht="41.4">
      <c r="A946" s="295" t="str">
        <f t="shared" si="14"/>
        <v>Enterococcus faecalis 29212 or 33186 and trimethoprim-sulfamethoxazole disk</v>
      </c>
      <c r="B946" s="26" t="s">
        <v>2668</v>
      </c>
      <c r="C946" s="26" t="s">
        <v>2689</v>
      </c>
      <c r="D946" s="288" t="s">
        <v>4143</v>
      </c>
      <c r="E946" s="553" t="s">
        <v>5856</v>
      </c>
    </row>
    <row r="947" spans="1:5" ht="96.6">
      <c r="A947" s="295" t="str">
        <f t="shared" si="14"/>
        <v>Do QC records indicate that each batch of Mueller Hinton Blood agar is checked for its ability to produce expected zone sizes using Streptococcus pneumoniae ATCC 49619 (or equivalent)?</v>
      </c>
      <c r="B947" s="26" t="s">
        <v>6926</v>
      </c>
      <c r="C947" s="26" t="s">
        <v>6927</v>
      </c>
      <c r="D947" s="288" t="s">
        <v>6928</v>
      </c>
      <c r="E947" s="553" t="s">
        <v>6929</v>
      </c>
    </row>
    <row r="948" spans="1:5" ht="27.6">
      <c r="A948" s="295" t="str">
        <f t="shared" si="14"/>
        <v>Check NA if the lab does not use MHB</v>
      </c>
      <c r="B948" s="26" t="s">
        <v>113</v>
      </c>
      <c r="C948" s="26" t="s">
        <v>4707</v>
      </c>
      <c r="D948" s="288" t="s">
        <v>4144</v>
      </c>
      <c r="E948" s="553" t="s">
        <v>5857</v>
      </c>
    </row>
    <row r="949" spans="1:5" ht="27.6">
      <c r="A949" s="295" t="str">
        <f t="shared" si="14"/>
        <v>BLOOD CULTURE BOTTLES PREPARATION AND QC</v>
      </c>
      <c r="B949" s="26" t="s">
        <v>911</v>
      </c>
      <c r="C949" s="26" t="s">
        <v>5858</v>
      </c>
      <c r="D949" s="288" t="s">
        <v>3722</v>
      </c>
      <c r="E949" s="553" t="s">
        <v>5859</v>
      </c>
    </row>
    <row r="950" spans="1:5" ht="27.6">
      <c r="A950" s="295" t="str">
        <f t="shared" si="14"/>
        <v>Does the lab prepare blood culture bottles in-house?</v>
      </c>
      <c r="B950" s="26" t="s">
        <v>1854</v>
      </c>
      <c r="C950" s="314" t="s">
        <v>5860</v>
      </c>
      <c r="D950" s="288" t="s">
        <v>4145</v>
      </c>
      <c r="E950" s="553" t="s">
        <v>5861</v>
      </c>
    </row>
    <row r="951" spans="1:5" ht="27.6">
      <c r="A951" s="295" t="str">
        <f t="shared" si="14"/>
        <v>If no, answer NA to remaining questions</v>
      </c>
      <c r="B951" s="26" t="s">
        <v>7243</v>
      </c>
      <c r="C951" s="314" t="s">
        <v>7244</v>
      </c>
      <c r="D951" s="288" t="s">
        <v>7245</v>
      </c>
      <c r="E951" s="553" t="s">
        <v>5862</v>
      </c>
    </row>
    <row r="952" spans="1:5" ht="41.4">
      <c r="A952" s="295" t="str">
        <f t="shared" si="14"/>
        <v xml:space="preserve">Which base broth is used? (Broth must support growth of a wide range of bacterial species) </v>
      </c>
      <c r="B952" s="26" t="s">
        <v>2070</v>
      </c>
      <c r="C952" s="314" t="s">
        <v>4708</v>
      </c>
      <c r="D952" s="288" t="s">
        <v>4146</v>
      </c>
      <c r="E952" s="553" t="s">
        <v>5863</v>
      </c>
    </row>
    <row r="953" spans="1:5" ht="55.2">
      <c r="A953" s="295" t="str">
        <f t="shared" si="14"/>
        <v>1-Brain Heart Infusion, 2-Supplemented peptone, 3-Soybean-casein digest (tryptic soy), 4-Thioglycolate, 5-Thiol, 6-Colombia, 7-Brucella, 8-Other, NA</v>
      </c>
      <c r="B953" s="26" t="s">
        <v>2352</v>
      </c>
      <c r="C953" s="314" t="s">
        <v>4709</v>
      </c>
      <c r="D953" s="288" t="s">
        <v>3081</v>
      </c>
      <c r="E953" s="553" t="s">
        <v>5864</v>
      </c>
    </row>
    <row r="954" spans="1:5" ht="41.4">
      <c r="A954" s="295" t="str">
        <f t="shared" si="14"/>
        <v>Is sodium polyanethole sulfonate (SPS) added? (an anticoagulant and growth stabilizer)</v>
      </c>
      <c r="B954" s="26" t="s">
        <v>1868</v>
      </c>
      <c r="C954" s="314" t="s">
        <v>2690</v>
      </c>
      <c r="D954" s="288" t="s">
        <v>4147</v>
      </c>
      <c r="E954" s="553" t="s">
        <v>5865</v>
      </c>
    </row>
    <row r="955" spans="1:5" ht="69">
      <c r="A955" s="295" t="str">
        <f t="shared" si="14"/>
        <v>Are any growth-promoters added? (Such as: Gelatin, Yeast Extract, Hemin (X-factor), NAD (Y-factor), Pyridoxine, Para-amino benzoic acid, Cysteine)</v>
      </c>
      <c r="B955" s="26" t="s">
        <v>1875</v>
      </c>
      <c r="C955" s="314" t="s">
        <v>2691</v>
      </c>
      <c r="D955" s="288" t="s">
        <v>3082</v>
      </c>
      <c r="E955" s="553" t="s">
        <v>7137</v>
      </c>
    </row>
    <row r="956" spans="1:5" ht="27.6">
      <c r="A956" s="295" t="str">
        <f t="shared" si="14"/>
        <v>If yes, please describe in comments</v>
      </c>
      <c r="B956" s="26" t="s">
        <v>1877</v>
      </c>
      <c r="C956" s="314" t="s">
        <v>2692</v>
      </c>
      <c r="D956" s="288" t="s">
        <v>3083</v>
      </c>
      <c r="E956" s="553" t="s">
        <v>5866</v>
      </c>
    </row>
    <row r="957" spans="1:5" ht="55.2">
      <c r="A957" s="295" t="str">
        <f t="shared" si="14"/>
        <v>Are resins or charcoal added? (to bind antimicrobials present in the patient's blood)</v>
      </c>
      <c r="B957" s="26" t="s">
        <v>1869</v>
      </c>
      <c r="C957" s="26" t="s">
        <v>5867</v>
      </c>
      <c r="D957" s="288" t="s">
        <v>3084</v>
      </c>
      <c r="E957" s="553" t="s">
        <v>5868</v>
      </c>
    </row>
    <row r="958" spans="1:5" ht="27.6">
      <c r="A958" s="295" t="str">
        <f t="shared" si="14"/>
        <v>If yes, please descrube in comments</v>
      </c>
      <c r="B958" s="26" t="s">
        <v>1876</v>
      </c>
      <c r="C958" s="26" t="s">
        <v>2693</v>
      </c>
      <c r="D958" s="288" t="s">
        <v>3083</v>
      </c>
      <c r="E958" s="553" t="s">
        <v>5866</v>
      </c>
    </row>
    <row r="959" spans="1:5" ht="41.4">
      <c r="A959" s="295" t="str">
        <f t="shared" si="14"/>
        <v>Is 50mL of broth dispensed into sterile bottles for adult patients? (1:5 blood:broth ratio)</v>
      </c>
      <c r="B959" s="26" t="s">
        <v>1872</v>
      </c>
      <c r="C959" s="26" t="s">
        <v>5869</v>
      </c>
      <c r="D959" s="288" t="s">
        <v>4148</v>
      </c>
      <c r="E959" s="553" t="s">
        <v>5870</v>
      </c>
    </row>
    <row r="960" spans="1:5" ht="55.2">
      <c r="A960" s="295" t="str">
        <f t="shared" si="14"/>
        <v>Is 25mL of broth dispensed into sterile bottles for pediatric patients? (1:5 blood:broth ratio)</v>
      </c>
      <c r="B960" s="26" t="s">
        <v>1873</v>
      </c>
      <c r="C960" s="26" t="s">
        <v>5871</v>
      </c>
      <c r="D960" s="288" t="s">
        <v>4149</v>
      </c>
      <c r="E960" s="553" t="s">
        <v>5872</v>
      </c>
    </row>
    <row r="961" spans="1:5" ht="27.6">
      <c r="A961" s="295" t="str">
        <f t="shared" si="14"/>
        <v>Are the bottles autoclaved at 121°C for &gt;15 min?</v>
      </c>
      <c r="B961" s="26" t="s">
        <v>6930</v>
      </c>
      <c r="C961" s="26" t="s">
        <v>6933</v>
      </c>
      <c r="D961" s="288" t="s">
        <v>6931</v>
      </c>
      <c r="E961" s="553" t="s">
        <v>6932</v>
      </c>
    </row>
    <row r="962" spans="1:5" ht="41.4">
      <c r="A962" s="295" t="str">
        <f t="shared" si="14"/>
        <v>Do QC records for blood culture bottles indicate the following:</v>
      </c>
      <c r="B962" s="26" t="s">
        <v>1874</v>
      </c>
      <c r="C962" s="26" t="s">
        <v>5873</v>
      </c>
      <c r="D962" s="288" t="s">
        <v>4150</v>
      </c>
      <c r="E962" s="553" t="s">
        <v>5874</v>
      </c>
    </row>
    <row r="963" spans="1:5" ht="27.6">
      <c r="A963" s="295" t="str">
        <f t="shared" si="14"/>
        <v>Visual inspection performed and documented</v>
      </c>
      <c r="B963" s="26" t="s">
        <v>1870</v>
      </c>
      <c r="C963" s="26" t="s">
        <v>4710</v>
      </c>
      <c r="D963" s="288" t="s">
        <v>3085</v>
      </c>
      <c r="E963" s="553" t="s">
        <v>5875</v>
      </c>
    </row>
    <row r="964" spans="1:5" ht="41.4">
      <c r="A964" s="295" t="str">
        <f t="shared" si="14"/>
        <v>Checked for sterility by incubating a portion of uninoculated bottles? (Ideally 5%)</v>
      </c>
      <c r="B964" s="26" t="s">
        <v>6934</v>
      </c>
      <c r="C964" s="26" t="s">
        <v>5876</v>
      </c>
      <c r="D964" s="288" t="s">
        <v>4151</v>
      </c>
      <c r="E964" s="553" t="s">
        <v>5877</v>
      </c>
    </row>
    <row r="965" spans="1:5" ht="27.6">
      <c r="A965" s="295" t="str">
        <f t="shared" si="14"/>
        <v>Ability to support growth of Streptococcus pneumoniae</v>
      </c>
      <c r="B965" s="26" t="s">
        <v>2669</v>
      </c>
      <c r="C965" s="26" t="s">
        <v>4711</v>
      </c>
      <c r="D965" s="288" t="s">
        <v>4152</v>
      </c>
      <c r="E965" s="553" t="s">
        <v>5878</v>
      </c>
    </row>
    <row r="966" spans="1:5" ht="27.6">
      <c r="A966" s="295" t="str">
        <f t="shared" si="14"/>
        <v>Ability to support growth of Haemophilus influenzae</v>
      </c>
      <c r="B966" s="26" t="s">
        <v>2670</v>
      </c>
      <c r="C966" s="26" t="s">
        <v>5879</v>
      </c>
      <c r="D966" s="288" t="s">
        <v>4153</v>
      </c>
      <c r="E966" s="553" t="s">
        <v>5880</v>
      </c>
    </row>
    <row r="967" spans="1:5" ht="55.2">
      <c r="A967" s="295" t="str">
        <f t="shared" si="14"/>
        <v>Near the expiration date, is QC repeated on a few of the bottles to confirm the long-term stability of the broth?</v>
      </c>
      <c r="B967" s="26" t="s">
        <v>6935</v>
      </c>
      <c r="C967" s="26" t="s">
        <v>5881</v>
      </c>
      <c r="D967" s="288" t="s">
        <v>4154</v>
      </c>
      <c r="E967" s="553" t="s">
        <v>5882</v>
      </c>
    </row>
    <row r="968" spans="1:5" ht="55.2">
      <c r="A968" s="295" t="str">
        <f t="shared" si="14"/>
        <v>Are unused bottles labeled correctly (name, batch #, production date and expiration date)?</v>
      </c>
      <c r="B968" s="26" t="s">
        <v>2071</v>
      </c>
      <c r="C968" s="26" t="s">
        <v>5883</v>
      </c>
      <c r="D968" s="288" t="s">
        <v>4155</v>
      </c>
      <c r="E968" s="553" t="s">
        <v>5884</v>
      </c>
    </row>
    <row r="969" spans="1:5" ht="27.6">
      <c r="A969" s="295" t="str">
        <f t="shared" si="14"/>
        <v>6- QUALITY CONTROL - ID METHODS</v>
      </c>
      <c r="B969" s="26" t="s">
        <v>918</v>
      </c>
      <c r="C969" s="26" t="s">
        <v>2698</v>
      </c>
      <c r="D969" s="288" t="s">
        <v>3086</v>
      </c>
      <c r="E969" s="553" t="s">
        <v>5885</v>
      </c>
    </row>
    <row r="970" spans="1:5" ht="27.6">
      <c r="A970" s="295" t="str">
        <f t="shared" si="14"/>
        <v>GRAM STAIN QC and REAGENT LABELING AND STORAGE</v>
      </c>
      <c r="B970" s="26" t="s">
        <v>853</v>
      </c>
      <c r="C970" s="26" t="s">
        <v>4712</v>
      </c>
      <c r="D970" s="170" t="s">
        <v>3723</v>
      </c>
      <c r="E970" s="553" t="s">
        <v>5053</v>
      </c>
    </row>
    <row r="971" spans="1:5" ht="55.2">
      <c r="A971" s="295" t="str">
        <f t="shared" si="14"/>
        <v>Is QC performed and results recorded on each new preparation or lot number of Gram stain reagents?</v>
      </c>
      <c r="B971" s="26" t="s">
        <v>6936</v>
      </c>
      <c r="C971" s="26" t="s">
        <v>4713</v>
      </c>
      <c r="D971" s="288" t="s">
        <v>4156</v>
      </c>
      <c r="E971" s="553" t="s">
        <v>5886</v>
      </c>
    </row>
    <row r="972" spans="1:5">
      <c r="A972" s="295" t="str">
        <f t="shared" si="14"/>
        <v>1: Yes - 2: Partial - 3: No</v>
      </c>
      <c r="B972" s="26" t="s">
        <v>106</v>
      </c>
      <c r="C972" s="26" t="s">
        <v>4714</v>
      </c>
      <c r="D972" s="288" t="s">
        <v>3087</v>
      </c>
      <c r="E972" s="553" t="s">
        <v>5887</v>
      </c>
    </row>
    <row r="973" spans="1:5" ht="82.8">
      <c r="A973" s="295" t="str">
        <f t="shared" si="14"/>
        <v>Standard: CAP MIC.21540, MIC.21624 All staining procedures (Gram stains, special stains, and fluorescent stains) should be checked and results recorded for each new batch of stain.</v>
      </c>
      <c r="B973" s="26" t="s">
        <v>6937</v>
      </c>
      <c r="C973" s="26" t="s">
        <v>4715</v>
      </c>
      <c r="D973" s="170" t="s">
        <v>4157</v>
      </c>
      <c r="E973" s="553" t="s">
        <v>5888</v>
      </c>
    </row>
    <row r="974" spans="1:5" ht="41.4">
      <c r="A974" s="295" t="str">
        <f t="shared" si="14"/>
        <v>Is Gram stain QC performed using both positive and negative control organisms?</v>
      </c>
      <c r="B974" s="26" t="s">
        <v>647</v>
      </c>
      <c r="C974" s="26" t="s">
        <v>4716</v>
      </c>
      <c r="D974" s="288" t="s">
        <v>4158</v>
      </c>
      <c r="E974" s="553" t="s">
        <v>5889</v>
      </c>
    </row>
    <row r="975" spans="1:5" ht="55.2">
      <c r="A975" s="295" t="str">
        <f t="shared" si="14"/>
        <v xml:space="preserve">Observe the Gram stain, catalase, coagulase, oxidase and indole reagents in use by the laboratory. Are they labeled with: </v>
      </c>
      <c r="B975" s="26" t="s">
        <v>6938</v>
      </c>
      <c r="C975" s="26" t="s">
        <v>5890</v>
      </c>
      <c r="D975" s="288" t="s">
        <v>3088</v>
      </c>
      <c r="E975" s="553" t="s">
        <v>5891</v>
      </c>
    </row>
    <row r="976" spans="1:5">
      <c r="A976" s="295" t="str">
        <f t="shared" si="14"/>
        <v>Name of reagent</v>
      </c>
      <c r="B976" s="26" t="s">
        <v>1940</v>
      </c>
      <c r="C976" s="26" t="s">
        <v>2699</v>
      </c>
      <c r="D976" s="288" t="s">
        <v>3089</v>
      </c>
      <c r="E976" s="553" t="s">
        <v>5892</v>
      </c>
    </row>
    <row r="977" spans="1:5" ht="27.6">
      <c r="A977" s="295" t="str">
        <f t="shared" si="14"/>
        <v>Date of preparation/reconstitution (if relevant, e.g., coagulase)</v>
      </c>
      <c r="B977" s="26" t="s">
        <v>1942</v>
      </c>
      <c r="C977" s="26" t="s">
        <v>2700</v>
      </c>
      <c r="D977" s="288" t="s">
        <v>4159</v>
      </c>
      <c r="E977" s="553" t="s">
        <v>5893</v>
      </c>
    </row>
    <row r="978" spans="1:5">
      <c r="A978" s="295" t="str">
        <f t="shared" si="14"/>
        <v>Date of opening</v>
      </c>
      <c r="B978" s="26" t="s">
        <v>1941</v>
      </c>
      <c r="C978" s="26" t="s">
        <v>2675</v>
      </c>
      <c r="D978" s="288" t="s">
        <v>3069</v>
      </c>
      <c r="E978" s="553" t="s">
        <v>5804</v>
      </c>
    </row>
    <row r="979" spans="1:5">
      <c r="A979" s="295" t="str">
        <f t="shared" si="14"/>
        <v>Expiration date</v>
      </c>
      <c r="B979" s="26" t="s">
        <v>1936</v>
      </c>
      <c r="C979" s="26" t="s">
        <v>2674</v>
      </c>
      <c r="D979" s="288" t="s">
        <v>3068</v>
      </c>
      <c r="E979" s="553" t="s">
        <v>5800</v>
      </c>
    </row>
    <row r="980" spans="1:5">
      <c r="A980" s="295" t="str">
        <f t="shared" si="14"/>
        <v>1: All - 2: Some - 3: None</v>
      </c>
      <c r="B980" s="26" t="s">
        <v>250</v>
      </c>
      <c r="C980" s="26" t="s">
        <v>2683</v>
      </c>
      <c r="D980" s="288" t="s">
        <v>3076</v>
      </c>
      <c r="E980" s="553" t="s">
        <v>5894</v>
      </c>
    </row>
    <row r="981" spans="1:5" ht="41.4">
      <c r="A981" s="295" t="str">
        <f t="shared" si="14"/>
        <v>Are tubed media, reagents, and kits stored at the temperatures indicated by the manufacturer?</v>
      </c>
      <c r="B981" s="26" t="s">
        <v>36</v>
      </c>
      <c r="C981" s="26" t="s">
        <v>5895</v>
      </c>
      <c r="D981" s="288" t="s">
        <v>4160</v>
      </c>
      <c r="E981" s="553" t="s">
        <v>5896</v>
      </c>
    </row>
    <row r="982" spans="1:5" ht="27.6">
      <c r="A982" s="295" t="str">
        <f t="shared" si="14"/>
        <v>QC OF INDIVIDUAL BIOCHEMICAL METHODS</v>
      </c>
      <c r="B982" s="26" t="s">
        <v>728</v>
      </c>
      <c r="C982" s="26" t="s">
        <v>2446</v>
      </c>
      <c r="D982" s="288" t="s">
        <v>3724</v>
      </c>
      <c r="E982" s="553" t="s">
        <v>5897</v>
      </c>
    </row>
    <row r="983" spans="1:5" ht="41.4">
      <c r="A983" s="295" t="str">
        <f t="shared" si="14"/>
        <v>NOTE: This question applies only to the tubed media and liquid reagents in use by the lab.</v>
      </c>
      <c r="B983" s="26" t="s">
        <v>2694</v>
      </c>
      <c r="C983" s="26" t="s">
        <v>4717</v>
      </c>
      <c r="D983" s="288" t="s">
        <v>4161</v>
      </c>
      <c r="E983" s="553" t="s">
        <v>5898</v>
      </c>
    </row>
    <row r="984" spans="1:5" ht="41.4">
      <c r="A984" s="295" t="str">
        <f t="shared" si="14"/>
        <v>It does NOT apply to the biochemical reagent wells incorporated into pre-defined identification systems,</v>
      </c>
      <c r="B984" s="26" t="s">
        <v>2695</v>
      </c>
      <c r="C984" s="26" t="s">
        <v>2701</v>
      </c>
      <c r="D984" s="288" t="s">
        <v>3090</v>
      </c>
      <c r="E984" s="553" t="s">
        <v>5899</v>
      </c>
    </row>
    <row r="985" spans="1:5">
      <c r="A985" s="295" t="str">
        <f t="shared" si="14"/>
        <v xml:space="preserve">such as Vitek, API, Liofilchem, etc. </v>
      </c>
      <c r="B985" s="26" t="s">
        <v>2277</v>
      </c>
      <c r="C985" s="26" t="s">
        <v>2702</v>
      </c>
      <c r="D985" s="288" t="s">
        <v>3091</v>
      </c>
      <c r="E985" s="553" t="s">
        <v>5900</v>
      </c>
    </row>
    <row r="986" spans="1:5" ht="41.4">
      <c r="A986" s="295" t="str">
        <f t="shared" si="14"/>
        <v>Do QC records demonstrate the following? If a reagent is not used, check NA</v>
      </c>
      <c r="B986" s="26" t="s">
        <v>6939</v>
      </c>
      <c r="C986" s="26" t="s">
        <v>5901</v>
      </c>
      <c r="D986" s="288" t="s">
        <v>4162</v>
      </c>
      <c r="E986" s="553" t="s">
        <v>5902</v>
      </c>
    </row>
    <row r="987" spans="1:5">
      <c r="A987" s="295" t="str">
        <f t="shared" si="14"/>
        <v>Catalase (H2O2)</v>
      </c>
      <c r="B987" s="26" t="s">
        <v>2399</v>
      </c>
      <c r="C987" s="26" t="s">
        <v>2399</v>
      </c>
      <c r="D987" s="288" t="s">
        <v>2947</v>
      </c>
      <c r="E987" s="553" t="s">
        <v>2399</v>
      </c>
    </row>
    <row r="988" spans="1:5">
      <c r="A988" s="295" t="str">
        <f t="shared" si="14"/>
        <v>Positive control is used</v>
      </c>
      <c r="B988" s="26" t="s">
        <v>2127</v>
      </c>
      <c r="C988" s="26" t="s">
        <v>4718</v>
      </c>
      <c r="D988" s="288" t="s">
        <v>3092</v>
      </c>
      <c r="E988" s="553" t="s">
        <v>5903</v>
      </c>
    </row>
    <row r="989" spans="1:5">
      <c r="A989" s="295" t="str">
        <f t="shared" si="14"/>
        <v>Negative control is used</v>
      </c>
      <c r="B989" s="26" t="s">
        <v>2128</v>
      </c>
      <c r="C989" s="26" t="s">
        <v>4719</v>
      </c>
      <c r="D989" s="288" t="s">
        <v>3093</v>
      </c>
      <c r="E989" s="553" t="s">
        <v>5904</v>
      </c>
    </row>
    <row r="990" spans="1:5" ht="27.6">
      <c r="A990" s="295" t="str">
        <f t="shared" si="14"/>
        <v>QC is performed on each new batch/lot number</v>
      </c>
      <c r="B990" s="26" t="s">
        <v>716</v>
      </c>
      <c r="C990" s="26" t="s">
        <v>4720</v>
      </c>
      <c r="D990" s="170" t="s">
        <v>3725</v>
      </c>
      <c r="E990" s="553" t="s">
        <v>5058</v>
      </c>
    </row>
    <row r="991" spans="1:5" ht="27.6">
      <c r="A991" s="295" t="str">
        <f t="shared" si="14"/>
        <v>QC is performed using ATCC or ATCC-derivative strains</v>
      </c>
      <c r="B991" s="26" t="s">
        <v>727</v>
      </c>
      <c r="C991" s="26" t="s">
        <v>4721</v>
      </c>
      <c r="D991" s="288" t="s">
        <v>4163</v>
      </c>
      <c r="E991" s="553" t="s">
        <v>5905</v>
      </c>
    </row>
    <row r="992" spans="1:5">
      <c r="A992" s="295" t="str">
        <f t="shared" si="14"/>
        <v>Coagulase plasma</v>
      </c>
      <c r="B992" s="26" t="s">
        <v>2104</v>
      </c>
      <c r="C992" s="26" t="s">
        <v>2467</v>
      </c>
      <c r="D992" s="288" t="s">
        <v>3775</v>
      </c>
      <c r="E992" s="553" t="s">
        <v>2467</v>
      </c>
    </row>
    <row r="993" spans="1:5" ht="27.6">
      <c r="A993" s="295" t="str">
        <f t="shared" ref="A993:A1005" si="15">IF(langue=1,B993,IF(langue=2,C993,IF(langue=3,D993,IF(langue=4,E993,F993))))</f>
        <v>Staph latex agglutination</v>
      </c>
      <c r="B993" s="26" t="s">
        <v>2105</v>
      </c>
      <c r="C993" s="26" t="s">
        <v>4722</v>
      </c>
      <c r="D993" s="170" t="s">
        <v>3776</v>
      </c>
      <c r="E993" s="553" t="s">
        <v>5163</v>
      </c>
    </row>
    <row r="994" spans="1:5" ht="27.6">
      <c r="A994" s="295" t="str">
        <f t="shared" si="15"/>
        <v>Staph Chromagar</v>
      </c>
      <c r="B994" s="26" t="s">
        <v>2135</v>
      </c>
      <c r="C994" s="26" t="s">
        <v>5906</v>
      </c>
      <c r="D994" s="288" t="s">
        <v>3777</v>
      </c>
      <c r="E994" s="553" t="s">
        <v>5164</v>
      </c>
    </row>
    <row r="995" spans="1:5">
      <c r="A995" s="295" t="str">
        <f t="shared" si="15"/>
        <v>DNase</v>
      </c>
      <c r="B995" s="26" t="s">
        <v>2107</v>
      </c>
      <c r="C995" s="26" t="s">
        <v>2107</v>
      </c>
      <c r="D995" s="288" t="s">
        <v>2948</v>
      </c>
      <c r="E995" s="553" t="s">
        <v>2107</v>
      </c>
    </row>
    <row r="996" spans="1:5">
      <c r="A996" s="295" t="str">
        <f t="shared" si="15"/>
        <v>PYR</v>
      </c>
      <c r="B996" s="26" t="s">
        <v>2108</v>
      </c>
      <c r="C996" s="26" t="s">
        <v>2108</v>
      </c>
      <c r="D996" s="289" t="s">
        <v>3778</v>
      </c>
      <c r="E996" s="553" t="s">
        <v>2108</v>
      </c>
    </row>
    <row r="997" spans="1:5">
      <c r="A997" s="295" t="str">
        <f t="shared" si="15"/>
        <v>Optochin ("P") disk</v>
      </c>
      <c r="B997" s="26" t="s">
        <v>2136</v>
      </c>
      <c r="C997" s="26" t="s">
        <v>2703</v>
      </c>
      <c r="D997" s="170" t="s">
        <v>4164</v>
      </c>
      <c r="E997" s="553" t="s">
        <v>5166</v>
      </c>
    </row>
    <row r="998" spans="1:5">
      <c r="A998" s="295" t="str">
        <f t="shared" si="15"/>
        <v>Bile solubility (deoxycholate)</v>
      </c>
      <c r="B998" s="26" t="s">
        <v>2109</v>
      </c>
      <c r="C998" s="26" t="s">
        <v>2468</v>
      </c>
      <c r="D998" s="289" t="s">
        <v>3780</v>
      </c>
      <c r="E998" s="553" t="s">
        <v>5907</v>
      </c>
    </row>
    <row r="999" spans="1:5" ht="27.6">
      <c r="A999" s="295" t="str">
        <f t="shared" si="15"/>
        <v>Strep pneumo latex agglutination</v>
      </c>
      <c r="B999" s="26" t="s">
        <v>2137</v>
      </c>
      <c r="C999" s="26" t="s">
        <v>5908</v>
      </c>
      <c r="D999" s="170" t="s">
        <v>4165</v>
      </c>
      <c r="E999" s="553" t="s">
        <v>5909</v>
      </c>
    </row>
    <row r="1000" spans="1:5">
      <c r="A1000" s="295" t="str">
        <f t="shared" si="15"/>
        <v>Oxidase</v>
      </c>
      <c r="B1000" s="26" t="s">
        <v>2111</v>
      </c>
      <c r="C1000" s="26" t="s">
        <v>2469</v>
      </c>
      <c r="D1000" s="288" t="s">
        <v>2949</v>
      </c>
      <c r="E1000" s="553" t="s">
        <v>2111</v>
      </c>
    </row>
    <row r="1001" spans="1:5">
      <c r="A1001" s="295" t="str">
        <f t="shared" si="15"/>
        <v>Indole reagents</v>
      </c>
      <c r="B1001" s="26" t="s">
        <v>2130</v>
      </c>
      <c r="C1001" s="26" t="s">
        <v>2470</v>
      </c>
      <c r="D1001" s="288" t="s">
        <v>2950</v>
      </c>
      <c r="E1001" s="553" t="s">
        <v>5910</v>
      </c>
    </row>
    <row r="1002" spans="1:5">
      <c r="A1002" s="295" t="str">
        <f t="shared" si="15"/>
        <v>Methyl Red</v>
      </c>
      <c r="B1002" s="26" t="s">
        <v>2113</v>
      </c>
      <c r="C1002" s="26" t="s">
        <v>2471</v>
      </c>
      <c r="D1002" s="288" t="s">
        <v>3782</v>
      </c>
      <c r="E1002" s="553" t="s">
        <v>5172</v>
      </c>
    </row>
    <row r="1003" spans="1:5">
      <c r="A1003" s="295" t="str">
        <f t="shared" si="15"/>
        <v>Voges-Proskauer</v>
      </c>
      <c r="B1003" s="26" t="s">
        <v>2114</v>
      </c>
      <c r="C1003" s="26" t="s">
        <v>2114</v>
      </c>
      <c r="D1003" s="288" t="s">
        <v>2114</v>
      </c>
      <c r="E1003" s="553" t="s">
        <v>2114</v>
      </c>
    </row>
    <row r="1004" spans="1:5">
      <c r="A1004" s="295" t="str">
        <f t="shared" si="15"/>
        <v>Citrate</v>
      </c>
      <c r="B1004" s="26" t="s">
        <v>2115</v>
      </c>
      <c r="C1004" s="26" t="s">
        <v>2115</v>
      </c>
      <c r="D1004" s="288" t="s">
        <v>2951</v>
      </c>
      <c r="E1004" s="553" t="s">
        <v>2951</v>
      </c>
    </row>
    <row r="1005" spans="1:5" ht="27.6">
      <c r="A1005" s="295" t="str">
        <f t="shared" si="15"/>
        <v>Triple Sugar Iron agar or Kligler Iron Agar</v>
      </c>
      <c r="B1005" s="26" t="s">
        <v>6940</v>
      </c>
      <c r="C1005" s="26" t="s">
        <v>2472</v>
      </c>
      <c r="D1005" s="288" t="s">
        <v>4166</v>
      </c>
      <c r="E1005" s="553" t="s">
        <v>5911</v>
      </c>
    </row>
    <row r="1006" spans="1:5">
      <c r="A1006" s="295" t="str">
        <f t="shared" ref="A1006:A1033" si="16">IF(langue=1,B1006,IF(langue=2,C1006,IF(langue=3,D1006,IF(langue=4,E1006,F1006))))</f>
        <v>Urease</v>
      </c>
      <c r="B1006" s="26" t="s">
        <v>2116</v>
      </c>
      <c r="C1006" s="26" t="s">
        <v>5175</v>
      </c>
      <c r="D1006" s="288" t="s">
        <v>2952</v>
      </c>
      <c r="E1006" s="553" t="s">
        <v>2116</v>
      </c>
    </row>
    <row r="1007" spans="1:5">
      <c r="A1007" s="295" t="str">
        <f t="shared" si="16"/>
        <v>Motility</v>
      </c>
      <c r="B1007" s="26" t="s">
        <v>2117</v>
      </c>
      <c r="C1007" s="26" t="s">
        <v>2474</v>
      </c>
      <c r="D1007" s="288" t="s">
        <v>2953</v>
      </c>
      <c r="E1007" s="553" t="s">
        <v>5176</v>
      </c>
    </row>
    <row r="1008" spans="1:5" ht="27.6">
      <c r="A1008" s="295" t="str">
        <f t="shared" si="16"/>
        <v>Lysine Iron Agar (LIA) or Lysine decarboxylase (LDC)</v>
      </c>
      <c r="B1008" s="26" t="s">
        <v>2132</v>
      </c>
      <c r="C1008" s="26" t="s">
        <v>2475</v>
      </c>
      <c r="D1008" s="288" t="s">
        <v>3784</v>
      </c>
      <c r="E1008" s="553" t="s">
        <v>5177</v>
      </c>
    </row>
    <row r="1009" spans="1:5" ht="27.6">
      <c r="A1009" s="295" t="str">
        <f t="shared" si="16"/>
        <v>Glucose or Dextrose Oxidative-Fermentative (OF) test</v>
      </c>
      <c r="B1009" s="26" t="s">
        <v>2133</v>
      </c>
      <c r="C1009" s="26" t="s">
        <v>2476</v>
      </c>
      <c r="D1009" s="290" t="s">
        <v>3785</v>
      </c>
      <c r="E1009" s="553" t="s">
        <v>5912</v>
      </c>
    </row>
    <row r="1010" spans="1:5">
      <c r="A1010" s="295" t="str">
        <f t="shared" si="16"/>
        <v>Nitrate reduction</v>
      </c>
      <c r="B1010" s="26" t="s">
        <v>2122</v>
      </c>
      <c r="C1010" s="26" t="s">
        <v>2477</v>
      </c>
      <c r="D1010" s="288" t="s">
        <v>2954</v>
      </c>
      <c r="E1010" s="553" t="s">
        <v>5913</v>
      </c>
    </row>
    <row r="1011" spans="1:5">
      <c r="A1011" s="295" t="str">
        <f t="shared" si="16"/>
        <v>Gelatin hydrolysis</v>
      </c>
      <c r="B1011" s="26" t="s">
        <v>2123</v>
      </c>
      <c r="C1011" s="26" t="s">
        <v>2478</v>
      </c>
      <c r="D1011" s="288" t="s">
        <v>2955</v>
      </c>
      <c r="E1011" s="553" t="s">
        <v>5914</v>
      </c>
    </row>
    <row r="1012" spans="1:5">
      <c r="A1012" s="295" t="str">
        <f t="shared" si="16"/>
        <v xml:space="preserve">Chloramphenicol resistance (disk) </v>
      </c>
      <c r="B1012" s="26" t="s">
        <v>2138</v>
      </c>
      <c r="C1012" s="26" t="s">
        <v>2479</v>
      </c>
      <c r="D1012" s="288" t="s">
        <v>2956</v>
      </c>
      <c r="E1012" s="553" t="s">
        <v>5915</v>
      </c>
    </row>
    <row r="1013" spans="1:5">
      <c r="A1013" s="295" t="str">
        <f t="shared" si="16"/>
        <v>Growth at 42°C</v>
      </c>
      <c r="B1013" s="26" t="s">
        <v>2125</v>
      </c>
      <c r="C1013" s="26" t="s">
        <v>2480</v>
      </c>
      <c r="D1013" s="288" t="s">
        <v>2957</v>
      </c>
      <c r="E1013" s="553" t="s">
        <v>5182</v>
      </c>
    </row>
    <row r="1014" spans="1:5" ht="96.6">
      <c r="A1014" s="295" t="str">
        <f t="shared" si="16"/>
        <v>Standard: CAP MIC.21624 Positive and negative controls must be tested and recorded for all differential test procedures. Controls must be performed and recorded at the specific periodic intervals listed for the tests.</v>
      </c>
      <c r="B1014" s="26" t="s">
        <v>6941</v>
      </c>
      <c r="C1014" s="26" t="s">
        <v>4723</v>
      </c>
      <c r="D1014" s="170" t="s">
        <v>4167</v>
      </c>
      <c r="E1014" s="553" t="s">
        <v>5916</v>
      </c>
    </row>
    <row r="1015" spans="1:5" ht="27.6">
      <c r="A1015" s="295" t="str">
        <f t="shared" si="16"/>
        <v>QC OF ENTERIC SEROLOGY</v>
      </c>
      <c r="B1015" s="26" t="s">
        <v>729</v>
      </c>
      <c r="C1015" s="26" t="s">
        <v>4724</v>
      </c>
      <c r="D1015" s="170" t="s">
        <v>3727</v>
      </c>
      <c r="E1015" s="553" t="s">
        <v>5060</v>
      </c>
    </row>
    <row r="1016" spans="1:5" ht="55.2">
      <c r="A1016" s="295" t="str">
        <f t="shared" si="16"/>
        <v>Indicate whether the following aspects of QC for Salmonella and/or Shigella serology reagents are performed.</v>
      </c>
      <c r="B1016" s="26" t="s">
        <v>2278</v>
      </c>
      <c r="C1016" s="26" t="s">
        <v>2704</v>
      </c>
      <c r="D1016" s="170" t="s">
        <v>4168</v>
      </c>
      <c r="E1016" s="553" t="s">
        <v>5917</v>
      </c>
    </row>
    <row r="1017" spans="1:5" ht="27.6">
      <c r="A1017" s="295" t="str">
        <f t="shared" si="16"/>
        <v xml:space="preserve"> If serology testing is not performed, check NA.</v>
      </c>
      <c r="B1017" s="26" t="s">
        <v>1943</v>
      </c>
      <c r="C1017" s="26" t="s">
        <v>4725</v>
      </c>
      <c r="D1017" s="288" t="s">
        <v>4169</v>
      </c>
      <c r="E1017" s="553" t="s">
        <v>5918</v>
      </c>
    </row>
    <row r="1018" spans="1:5">
      <c r="A1018" s="295" t="str">
        <f t="shared" si="16"/>
        <v>Shigella serogoup</v>
      </c>
      <c r="B1018" s="26" t="s">
        <v>37</v>
      </c>
      <c r="C1018" s="26" t="s">
        <v>5919</v>
      </c>
      <c r="D1018" s="288" t="s">
        <v>4170</v>
      </c>
      <c r="E1018" s="553" t="s">
        <v>5920</v>
      </c>
    </row>
    <row r="1019" spans="1:5">
      <c r="A1019" s="295" t="str">
        <f t="shared" si="16"/>
        <v>Positive control is used</v>
      </c>
      <c r="B1019" s="26" t="s">
        <v>2127</v>
      </c>
      <c r="C1019" s="26" t="s">
        <v>4718</v>
      </c>
      <c r="D1019" s="288" t="s">
        <v>3092</v>
      </c>
      <c r="E1019" s="553" t="s">
        <v>5903</v>
      </c>
    </row>
    <row r="1020" spans="1:5">
      <c r="A1020" s="295" t="str">
        <f t="shared" si="16"/>
        <v>Negative control is used</v>
      </c>
      <c r="B1020" s="26" t="s">
        <v>2128</v>
      </c>
      <c r="C1020" s="26" t="s">
        <v>4719</v>
      </c>
      <c r="D1020" s="288" t="s">
        <v>3093</v>
      </c>
      <c r="E1020" s="553" t="s">
        <v>5904</v>
      </c>
    </row>
    <row r="1021" spans="1:5" ht="27.6">
      <c r="A1021" s="295" t="str">
        <f t="shared" si="16"/>
        <v>QC is performed on each new batch/lot number</v>
      </c>
      <c r="B1021" s="26" t="s">
        <v>716</v>
      </c>
      <c r="C1021" s="26" t="s">
        <v>4720</v>
      </c>
      <c r="D1021" s="170" t="s">
        <v>3725</v>
      </c>
      <c r="E1021" s="553" t="s">
        <v>5058</v>
      </c>
    </row>
    <row r="1022" spans="1:5" ht="27.6">
      <c r="A1022" s="295" t="str">
        <f t="shared" si="16"/>
        <v>QC is performed using ATCC or ATCC-derivative strains</v>
      </c>
      <c r="B1022" s="26" t="s">
        <v>727</v>
      </c>
      <c r="C1022" s="26" t="s">
        <v>4721</v>
      </c>
      <c r="D1022" s="288" t="s">
        <v>4163</v>
      </c>
      <c r="E1022" s="553" t="s">
        <v>5905</v>
      </c>
    </row>
    <row r="1023" spans="1:5">
      <c r="A1023" s="295" t="str">
        <f t="shared" si="16"/>
        <v>Salmonella serotype</v>
      </c>
      <c r="B1023" s="26" t="s">
        <v>38</v>
      </c>
      <c r="C1023" s="26" t="s">
        <v>5921</v>
      </c>
      <c r="D1023" s="288" t="s">
        <v>3094</v>
      </c>
      <c r="E1023" s="553" t="s">
        <v>5922</v>
      </c>
    </row>
    <row r="1024" spans="1:5">
      <c r="A1024" s="295" t="str">
        <f t="shared" si="16"/>
        <v>Positive control is used</v>
      </c>
      <c r="B1024" s="26" t="s">
        <v>2127</v>
      </c>
      <c r="C1024" s="26" t="s">
        <v>4718</v>
      </c>
      <c r="D1024" s="288" t="s">
        <v>3092</v>
      </c>
      <c r="E1024" s="553" t="s">
        <v>5903</v>
      </c>
    </row>
    <row r="1025" spans="1:5">
      <c r="A1025" s="295" t="str">
        <f t="shared" si="16"/>
        <v>Negative control is used</v>
      </c>
      <c r="B1025" s="26" t="s">
        <v>2128</v>
      </c>
      <c r="C1025" s="26" t="s">
        <v>4719</v>
      </c>
      <c r="D1025" s="288" t="s">
        <v>3093</v>
      </c>
      <c r="E1025" s="553" t="s">
        <v>5904</v>
      </c>
    </row>
    <row r="1026" spans="1:5" ht="27.6">
      <c r="A1026" s="295" t="str">
        <f t="shared" si="16"/>
        <v>QC is performed on each new batch/lot number</v>
      </c>
      <c r="B1026" s="26" t="s">
        <v>716</v>
      </c>
      <c r="C1026" s="26" t="s">
        <v>4720</v>
      </c>
      <c r="D1026" s="170" t="s">
        <v>3725</v>
      </c>
      <c r="E1026" s="553" t="s">
        <v>5058</v>
      </c>
    </row>
    <row r="1027" spans="1:5" ht="27.6">
      <c r="A1027" s="295" t="str">
        <f t="shared" si="16"/>
        <v>QC is performed using ATCC or ATCC-derivative strains</v>
      </c>
      <c r="B1027" s="26" t="s">
        <v>727</v>
      </c>
      <c r="C1027" s="26" t="s">
        <v>4721</v>
      </c>
      <c r="D1027" s="288" t="s">
        <v>4163</v>
      </c>
      <c r="E1027" s="553" t="s">
        <v>5905</v>
      </c>
    </row>
    <row r="1028" spans="1:5" ht="41.4">
      <c r="A1028" s="295" t="str">
        <f t="shared" si="16"/>
        <v>QC OF COMMERCIAL ID KITS and AUTOMATED ID SYSTEMS</v>
      </c>
      <c r="B1028" s="26" t="s">
        <v>730</v>
      </c>
      <c r="C1028" s="26" t="s">
        <v>4726</v>
      </c>
      <c r="D1028" s="288" t="s">
        <v>3728</v>
      </c>
      <c r="E1028" s="553" t="s">
        <v>5923</v>
      </c>
    </row>
    <row r="1029" spans="1:5" ht="55.2">
      <c r="A1029" s="295" t="str">
        <f t="shared" si="16"/>
        <v xml:space="preserve">Review QC records for commercial organism identification kits (e.g., API, Liofilchem, RapID) </v>
      </c>
      <c r="B1029" s="26" t="s">
        <v>2696</v>
      </c>
      <c r="C1029" s="26" t="s">
        <v>4727</v>
      </c>
      <c r="D1029" s="288" t="s">
        <v>4171</v>
      </c>
      <c r="E1029" s="553" t="s">
        <v>5924</v>
      </c>
    </row>
    <row r="1030" spans="1:5" ht="41.4">
      <c r="A1030" s="295" t="str">
        <f t="shared" si="16"/>
        <v>Check NA if the lab does not use any commercial test kits for organism ID</v>
      </c>
      <c r="B1030" s="26" t="s">
        <v>2303</v>
      </c>
      <c r="C1030" s="26" t="s">
        <v>7148</v>
      </c>
      <c r="D1030" s="288" t="s">
        <v>4172</v>
      </c>
      <c r="E1030" s="553" t="s">
        <v>5925</v>
      </c>
    </row>
    <row r="1031" spans="1:5" ht="69">
      <c r="A1031" s="295" t="str">
        <f t="shared" si="16"/>
        <v xml:space="preserve">Is QC performed on every new lot number/shipment before kits are placed into use, according to manufacturer recommendations? </v>
      </c>
      <c r="B1031" s="26" t="s">
        <v>908</v>
      </c>
      <c r="C1031" s="26" t="s">
        <v>4728</v>
      </c>
      <c r="D1031" s="170" t="s">
        <v>4173</v>
      </c>
      <c r="E1031" s="553" t="s">
        <v>5926</v>
      </c>
    </row>
    <row r="1032" spans="1:5" ht="27.6">
      <c r="A1032" s="295" t="str">
        <f t="shared" si="16"/>
        <v>Is QC performed using ATCC or ATCC-derivative strains?</v>
      </c>
      <c r="B1032" s="26" t="s">
        <v>859</v>
      </c>
      <c r="C1032" s="26" t="s">
        <v>2705</v>
      </c>
      <c r="D1032" s="288" t="s">
        <v>4174</v>
      </c>
      <c r="E1032" s="553" t="s">
        <v>5927</v>
      </c>
    </row>
    <row r="1033" spans="1:5" ht="55.2">
      <c r="A1033" s="295" t="str">
        <f t="shared" si="16"/>
        <v>Following manufacturer instructions, are all of the recommended ATCC strains in use for the identification kits?</v>
      </c>
      <c r="B1033" s="26" t="s">
        <v>1631</v>
      </c>
      <c r="C1033" s="26" t="s">
        <v>4729</v>
      </c>
      <c r="D1033" s="170" t="s">
        <v>3095</v>
      </c>
      <c r="E1033" s="553" t="s">
        <v>5928</v>
      </c>
    </row>
    <row r="1034" spans="1:5" ht="69">
      <c r="A1034" s="295" t="str">
        <f t="shared" ref="A1034:A1097" si="17">IF(langue=1,B1034,IF(langue=2,C1034,IF(langue=3,D1034,IF(langue=4,E1034,F1034))))</f>
        <v>1: All recommended strains are used; 2: Some of the recommended strains are used; 3: None of the recommended reference strains are used; NA</v>
      </c>
      <c r="B1034" s="26" t="s">
        <v>2351</v>
      </c>
      <c r="C1034" s="26" t="s">
        <v>2706</v>
      </c>
      <c r="D1034" s="288" t="s">
        <v>4175</v>
      </c>
      <c r="E1034" s="553" t="s">
        <v>5929</v>
      </c>
    </row>
    <row r="1035" spans="1:5" ht="110.4">
      <c r="A1035" s="295" t="str">
        <f t="shared" si="17"/>
        <v>Review the QC records for the ID cards/trays used with automated ID instruments (e.g., Vitek, Phoenix, Microscan, etc.) Check NA if the lab does not use automated systems for organism ID</v>
      </c>
      <c r="B1035" s="26" t="s">
        <v>2697</v>
      </c>
      <c r="C1035" s="26" t="s">
        <v>7149</v>
      </c>
      <c r="D1035" s="170" t="s">
        <v>4176</v>
      </c>
      <c r="E1035" s="553" t="s">
        <v>5930</v>
      </c>
    </row>
    <row r="1036" spans="1:5" ht="55.2">
      <c r="A1036" s="295" t="str">
        <f t="shared" si="17"/>
        <v>Is QC performed on every new lot number/shipment of ID cards/trays before they are placed into use?</v>
      </c>
      <c r="B1036" s="26" t="s">
        <v>860</v>
      </c>
      <c r="C1036" s="26" t="s">
        <v>4730</v>
      </c>
      <c r="D1036" s="170" t="s">
        <v>4177</v>
      </c>
      <c r="E1036" s="553" t="s">
        <v>5931</v>
      </c>
    </row>
    <row r="1037" spans="1:5" ht="27.6">
      <c r="A1037" s="295" t="str">
        <f t="shared" si="17"/>
        <v>Is QC performed using ATCC or ATCC-derivative strains?</v>
      </c>
      <c r="B1037" s="26" t="s">
        <v>859</v>
      </c>
      <c r="C1037" s="26" t="s">
        <v>2705</v>
      </c>
      <c r="D1037" s="288" t="s">
        <v>4174</v>
      </c>
      <c r="E1037" s="553" t="s">
        <v>5927</v>
      </c>
    </row>
    <row r="1038" spans="1:5" ht="69">
      <c r="A1038" s="295" t="str">
        <f t="shared" si="17"/>
        <v>Following manufacturer instructions, are all of the recommended ATCC strains in use for the automated instrument ID cards/trays?</v>
      </c>
      <c r="B1038" s="26" t="s">
        <v>1632</v>
      </c>
      <c r="C1038" s="26" t="s">
        <v>4731</v>
      </c>
      <c r="D1038" s="170" t="s">
        <v>3097</v>
      </c>
      <c r="E1038" s="553" t="s">
        <v>5932</v>
      </c>
    </row>
    <row r="1039" spans="1:5" ht="69">
      <c r="A1039" s="295" t="str">
        <f t="shared" si="17"/>
        <v>1: All recommended strains are used; 2: Some of the recommended strains are used; 3: None of the recommended reference strains are used; NA</v>
      </c>
      <c r="B1039" s="26" t="s">
        <v>2351</v>
      </c>
      <c r="C1039" s="26" t="s">
        <v>2706</v>
      </c>
      <c r="D1039" s="288" t="s">
        <v>3096</v>
      </c>
      <c r="E1039" s="553" t="s">
        <v>5929</v>
      </c>
    </row>
    <row r="1040" spans="1:5" ht="27.6">
      <c r="A1040" s="295" t="str">
        <f t="shared" si="17"/>
        <v>7- QUALITY CONTROL - AST METHODS</v>
      </c>
      <c r="B1040" s="26" t="s">
        <v>919</v>
      </c>
      <c r="C1040" s="26" t="s">
        <v>4732</v>
      </c>
      <c r="D1040" s="170" t="s">
        <v>4178</v>
      </c>
      <c r="E1040" s="553" t="s">
        <v>5933</v>
      </c>
    </row>
    <row r="1041" spans="1:5" ht="27.6">
      <c r="A1041" s="295" t="str">
        <f t="shared" si="17"/>
        <v>ROUTINE AST REFERENCE STRAINS</v>
      </c>
      <c r="B1041" s="26" t="s">
        <v>861</v>
      </c>
      <c r="C1041" s="26" t="s">
        <v>5934</v>
      </c>
      <c r="D1041" s="288" t="s">
        <v>3730</v>
      </c>
      <c r="E1041" s="553" t="s">
        <v>5935</v>
      </c>
    </row>
    <row r="1042" spans="1:5" ht="41.4">
      <c r="A1042" s="295" t="str">
        <f t="shared" si="17"/>
        <v>Does the lab have the following ATCC reference strains in stock? (CIP equivalents are also shown)</v>
      </c>
      <c r="B1042" s="26" t="s">
        <v>1947</v>
      </c>
      <c r="C1042" s="26" t="s">
        <v>2721</v>
      </c>
      <c r="D1042" s="288" t="s">
        <v>4179</v>
      </c>
      <c r="E1042" s="553" t="s">
        <v>5936</v>
      </c>
    </row>
    <row r="1043" spans="1:5" ht="27.6">
      <c r="A1043" s="295" t="str">
        <f t="shared" si="17"/>
        <v>Staphylococcus aureus ATCC 25923/CIP 76.25 (If CLSI standard used)</v>
      </c>
      <c r="B1043" s="26" t="s">
        <v>6942</v>
      </c>
      <c r="C1043" s="26" t="s">
        <v>6943</v>
      </c>
      <c r="D1043" s="288" t="s">
        <v>6944</v>
      </c>
      <c r="E1043" s="553" t="s">
        <v>6945</v>
      </c>
    </row>
    <row r="1044" spans="1:5" ht="27.6">
      <c r="A1044" s="295" t="str">
        <f t="shared" si="17"/>
        <v>Staphylococcus aureus ATCC 29213/CIP 103429 (If EUCAST standard used)</v>
      </c>
      <c r="B1044" s="26" t="s">
        <v>6946</v>
      </c>
      <c r="C1044" s="26" t="s">
        <v>6947</v>
      </c>
      <c r="D1044" s="288" t="s">
        <v>6948</v>
      </c>
      <c r="E1044" s="553" t="s">
        <v>6949</v>
      </c>
    </row>
    <row r="1045" spans="1:5" ht="55.2">
      <c r="A1045" s="295" t="str">
        <f t="shared" si="17"/>
        <v>Enterococcus faecalis ATCC 29212/CIP 103214 (to assess suitability of MHA for trimethoprim-sulfonamide tests)</v>
      </c>
      <c r="B1045" s="26" t="s">
        <v>2707</v>
      </c>
      <c r="C1045" s="26" t="s">
        <v>5937</v>
      </c>
      <c r="D1045" s="288" t="s">
        <v>4180</v>
      </c>
      <c r="E1045" s="553" t="s">
        <v>5938</v>
      </c>
    </row>
    <row r="1046" spans="1:5">
      <c r="A1046" s="295" t="str">
        <f t="shared" si="17"/>
        <v>Streptococcus pneumoniae ATCC 49619</v>
      </c>
      <c r="B1046" s="26" t="s">
        <v>6950</v>
      </c>
      <c r="C1046" s="26" t="s">
        <v>6950</v>
      </c>
      <c r="D1046" s="288" t="s">
        <v>6950</v>
      </c>
      <c r="E1046" s="553" t="s">
        <v>6950</v>
      </c>
    </row>
    <row r="1047" spans="1:5">
      <c r="A1047" s="295" t="str">
        <f t="shared" si="17"/>
        <v>E. coli ATCC 25922/CIP 76.24</v>
      </c>
      <c r="B1047" s="26" t="s">
        <v>6951</v>
      </c>
      <c r="C1047" s="26" t="s">
        <v>2722</v>
      </c>
      <c r="D1047" s="288" t="s">
        <v>2722</v>
      </c>
      <c r="E1047" s="553" t="s">
        <v>2722</v>
      </c>
    </row>
    <row r="1048" spans="1:5" ht="27.6">
      <c r="A1048" s="295" t="str">
        <f t="shared" si="17"/>
        <v>Pseudomonas aeruginosa ATCC 27853/CIP 76.110</v>
      </c>
      <c r="B1048" s="26" t="s">
        <v>2708</v>
      </c>
      <c r="C1048" s="26" t="s">
        <v>2723</v>
      </c>
      <c r="D1048" s="288" t="s">
        <v>2723</v>
      </c>
      <c r="E1048" s="553" t="s">
        <v>2723</v>
      </c>
    </row>
    <row r="1049" spans="1:5" ht="27.6">
      <c r="A1049" s="295" t="str">
        <f t="shared" si="17"/>
        <v>Are reference strains stored as follows?</v>
      </c>
      <c r="B1049" s="26" t="s">
        <v>1946</v>
      </c>
      <c r="C1049" s="26" t="s">
        <v>2724</v>
      </c>
      <c r="D1049" s="288" t="s">
        <v>4181</v>
      </c>
      <c r="E1049" s="553" t="s">
        <v>5939</v>
      </c>
    </row>
    <row r="1050" spans="1:5" ht="41.4">
      <c r="A1050" s="295" t="str">
        <f t="shared" si="17"/>
        <v>Reference cultures (lyophilized state, from the manufacturer) maintained at &lt;-20°C</v>
      </c>
      <c r="B1050" s="26" t="s">
        <v>2709</v>
      </c>
      <c r="C1050" s="26" t="s">
        <v>5940</v>
      </c>
      <c r="D1050" s="288" t="s">
        <v>4182</v>
      </c>
      <c r="E1050" s="553" t="s">
        <v>5941</v>
      </c>
    </row>
    <row r="1051" spans="1:5" ht="110.4">
      <c r="A1051" s="295" t="str">
        <f t="shared" si="17"/>
        <v>Reference stock cultures (broth preparations of reference cultures) maintained at &lt;-20°C in a suitable stabilizer (10% -15% glycerol in tryptic soy broth, 50% fetal calf serum in broth, defibrinated sheep blood, or skim milk)</v>
      </c>
      <c r="B1051" s="26" t="s">
        <v>2710</v>
      </c>
      <c r="C1051" s="26" t="s">
        <v>2725</v>
      </c>
      <c r="D1051" s="288" t="s">
        <v>4183</v>
      </c>
      <c r="E1051" s="553" t="s">
        <v>5942</v>
      </c>
    </row>
    <row r="1052" spans="1:5" ht="41.4">
      <c r="A1052" s="295" t="str">
        <f t="shared" si="17"/>
        <v>Monthly working stock culture, or "F1", stored at 2-8°C for up to 4 weeks, then discarded</v>
      </c>
      <c r="B1052" s="26" t="s">
        <v>2711</v>
      </c>
      <c r="C1052" s="26" t="s">
        <v>5943</v>
      </c>
      <c r="D1052" s="288" t="s">
        <v>4184</v>
      </c>
      <c r="E1052" s="553" t="s">
        <v>5944</v>
      </c>
    </row>
    <row r="1053" spans="1:5" ht="55.2">
      <c r="A1053" s="295" t="str">
        <f t="shared" si="17"/>
        <v>Weekly working stock culture, or “F2”, stored at 2-8°C for up to 1 week, then discarded</v>
      </c>
      <c r="B1053" s="26" t="s">
        <v>1944</v>
      </c>
      <c r="C1053" s="26" t="s">
        <v>5945</v>
      </c>
      <c r="D1053" s="288" t="s">
        <v>4185</v>
      </c>
      <c r="E1053" s="553" t="s">
        <v>5946</v>
      </c>
    </row>
    <row r="1054" spans="1:5" ht="27.6">
      <c r="A1054" s="295" t="str">
        <f t="shared" si="17"/>
        <v>Daily subculture, or “F3”, discarded after one day of use.</v>
      </c>
      <c r="B1054" s="26" t="s">
        <v>1945</v>
      </c>
      <c r="C1054" s="26" t="s">
        <v>4733</v>
      </c>
      <c r="D1054" s="288" t="s">
        <v>4186</v>
      </c>
      <c r="E1054" s="553" t="s">
        <v>5947</v>
      </c>
    </row>
    <row r="1055" spans="1:5" ht="179.4">
      <c r="A1055" s="295" t="str">
        <f t="shared" si="17"/>
        <v>Standard: SANAS TG 28-02: 7.2.2 A reference culture is a microorganism preparation that is obtained from a culture type collection such as ATCC. A reference stock culture is a microorganism preparation derived from a reference culture. A working stock culture is growth derived from a reference stock culture. A subculture is the transfer of established microorganism growth on media to fresh media.</v>
      </c>
      <c r="B1055" s="26" t="s">
        <v>639</v>
      </c>
      <c r="C1055" s="26" t="s">
        <v>5948</v>
      </c>
      <c r="D1055" s="288" t="s">
        <v>4187</v>
      </c>
      <c r="E1055" s="553" t="s">
        <v>5949</v>
      </c>
    </row>
    <row r="1056" spans="1:5" ht="27.6">
      <c r="A1056" s="295" t="str">
        <f t="shared" si="17"/>
        <v>SPECIAL AST REFERENCE STRAINS</v>
      </c>
      <c r="B1056" s="26" t="s">
        <v>862</v>
      </c>
      <c r="C1056" s="26" t="s">
        <v>4734</v>
      </c>
      <c r="D1056" s="170" t="s">
        <v>3731</v>
      </c>
      <c r="E1056" s="553" t="s">
        <v>5950</v>
      </c>
    </row>
    <row r="1057" spans="1:5" ht="41.4">
      <c r="A1057" s="295" t="str">
        <f t="shared" si="17"/>
        <v>Does the lab have the following reference strains in stock? (CIP equivalents are also shown)</v>
      </c>
      <c r="B1057" s="26" t="s">
        <v>1948</v>
      </c>
      <c r="C1057" s="26" t="s">
        <v>2726</v>
      </c>
      <c r="D1057" s="288" t="s">
        <v>4188</v>
      </c>
      <c r="E1057" s="553" t="s">
        <v>5951</v>
      </c>
    </row>
    <row r="1058" spans="1:5" ht="27.6">
      <c r="A1058" s="295" t="str">
        <f t="shared" si="17"/>
        <v>Staphylococcus aureus ATCC 43300 (mecA-positive, MRSA)</v>
      </c>
      <c r="B1058" s="26" t="s">
        <v>6959</v>
      </c>
      <c r="C1058" s="26" t="s">
        <v>6952</v>
      </c>
      <c r="D1058" s="288" t="s">
        <v>6953</v>
      </c>
      <c r="E1058" s="553" t="s">
        <v>6954</v>
      </c>
    </row>
    <row r="1059" spans="1:5" ht="27.6">
      <c r="A1059" s="295" t="str">
        <f t="shared" si="17"/>
        <v>Staphylococcus aureus ATCC BAA-976 (msrA-positive, Dzone negative)</v>
      </c>
      <c r="B1059" s="26" t="s">
        <v>6960</v>
      </c>
      <c r="C1059" s="26" t="s">
        <v>6955</v>
      </c>
      <c r="D1059" s="288" t="s">
        <v>6956</v>
      </c>
      <c r="E1059" s="553" t="s">
        <v>6956</v>
      </c>
    </row>
    <row r="1060" spans="1:5" ht="27.6">
      <c r="A1060" s="295" t="str">
        <f t="shared" si="17"/>
        <v>Staphylococcus aureus ATCC BAA-977 (ermA-positive, Dzone positive)</v>
      </c>
      <c r="B1060" s="26" t="s">
        <v>6961</v>
      </c>
      <c r="C1060" s="26" t="s">
        <v>6957</v>
      </c>
      <c r="D1060" s="288" t="s">
        <v>6958</v>
      </c>
      <c r="E1060" s="553" t="s">
        <v>6958</v>
      </c>
    </row>
    <row r="1061" spans="1:5" ht="27.6">
      <c r="A1061" s="295" t="str">
        <f t="shared" si="17"/>
        <v>Enterococcus faecalis ATCC 51299/CIP 104676 (vanB-positive, VRE)</v>
      </c>
      <c r="B1061" s="26" t="s">
        <v>6962</v>
      </c>
      <c r="C1061" s="26" t="s">
        <v>2727</v>
      </c>
      <c r="D1061" s="288" t="s">
        <v>4189</v>
      </c>
      <c r="E1061" s="553" t="s">
        <v>4189</v>
      </c>
    </row>
    <row r="1062" spans="1:5" ht="27.6">
      <c r="A1062" s="295" t="str">
        <f t="shared" si="17"/>
        <v>E.coli ATCC 13353 (CTX-M-15 ESBL-positive)</v>
      </c>
      <c r="B1062" s="26" t="s">
        <v>6963</v>
      </c>
      <c r="C1062" s="26" t="s">
        <v>2728</v>
      </c>
      <c r="D1062" s="288" t="s">
        <v>4190</v>
      </c>
      <c r="E1062" s="553" t="s">
        <v>4190</v>
      </c>
    </row>
    <row r="1063" spans="1:5">
      <c r="A1063" s="295" t="str">
        <f t="shared" si="17"/>
        <v>E.coli ATCC 35218 (TEM-1 positive)</v>
      </c>
      <c r="B1063" s="26" t="s">
        <v>863</v>
      </c>
      <c r="C1063" s="26" t="s">
        <v>2729</v>
      </c>
      <c r="D1063" s="288" t="s">
        <v>3098</v>
      </c>
      <c r="E1063" s="553" t="s">
        <v>3098</v>
      </c>
    </row>
    <row r="1064" spans="1:5" ht="27.6">
      <c r="A1064" s="295" t="str">
        <f t="shared" si="17"/>
        <v>Klebsiella pneumoniae ATCC 700603 (SHV-18, OXA-2) ESBL test QC</v>
      </c>
      <c r="B1064" s="26" t="s">
        <v>6964</v>
      </c>
      <c r="C1064" s="26" t="s">
        <v>6965</v>
      </c>
      <c r="D1064" s="170" t="s">
        <v>6966</v>
      </c>
      <c r="E1064" s="553" t="s">
        <v>6967</v>
      </c>
    </row>
    <row r="1065" spans="1:5" ht="41.4">
      <c r="A1065" s="295" t="str">
        <f t="shared" si="17"/>
        <v>Klebsiella pneumoniae ATCC BAA-1705 (TEM, SHV, KPC-2) carbapenemase test QC</v>
      </c>
      <c r="B1065" s="26" t="s">
        <v>6975</v>
      </c>
      <c r="C1065" s="26" t="s">
        <v>6968</v>
      </c>
      <c r="D1065" s="170" t="s">
        <v>6969</v>
      </c>
      <c r="E1065" s="553" t="s">
        <v>6970</v>
      </c>
    </row>
    <row r="1066" spans="1:5" ht="41.4">
      <c r="A1066" s="295" t="str">
        <f t="shared" si="17"/>
        <v>Klebsiella pneumoniae ATCC BAA-1706 (Resistant to carbapenems by non-carbapenemase method)</v>
      </c>
      <c r="B1066" s="26" t="s">
        <v>6974</v>
      </c>
      <c r="C1066" s="26" t="s">
        <v>6971</v>
      </c>
      <c r="D1066" s="170" t="s">
        <v>6972</v>
      </c>
      <c r="E1066" s="553" t="s">
        <v>6973</v>
      </c>
    </row>
    <row r="1067" spans="1:5" ht="69">
      <c r="A1067" s="295" t="str">
        <f t="shared" si="17"/>
        <v>Some QC strains with plasmid-mediated resistance have been shown to lose the plasmid when stored at temperatures above -60°C</v>
      </c>
      <c r="B1067" s="26" t="s">
        <v>2712</v>
      </c>
      <c r="C1067" s="26" t="s">
        <v>2730</v>
      </c>
      <c r="D1067" s="288" t="s">
        <v>4191</v>
      </c>
      <c r="E1067" s="553" t="s">
        <v>5952</v>
      </c>
    </row>
    <row r="1068" spans="1:5" ht="41.4">
      <c r="A1068" s="295" t="str">
        <f t="shared" si="17"/>
        <v>Are these special AST reference strains maintained at &lt;-60°C?</v>
      </c>
      <c r="B1068" s="26" t="s">
        <v>2713</v>
      </c>
      <c r="C1068" s="26" t="s">
        <v>4735</v>
      </c>
      <c r="D1068" s="288" t="s">
        <v>4192</v>
      </c>
      <c r="E1068" s="553" t="s">
        <v>5953</v>
      </c>
    </row>
    <row r="1069" spans="1:5" ht="27.6">
      <c r="A1069" s="295" t="str">
        <f t="shared" si="17"/>
        <v>QC OF DISC DIFFUSION AST METHODS</v>
      </c>
      <c r="B1069" s="26" t="s">
        <v>648</v>
      </c>
      <c r="C1069" s="26" t="s">
        <v>4736</v>
      </c>
      <c r="D1069" s="170" t="s">
        <v>3732</v>
      </c>
      <c r="E1069" s="553" t="s">
        <v>5069</v>
      </c>
    </row>
    <row r="1070" spans="1:5" ht="27.6">
      <c r="A1070" s="295" t="str">
        <f t="shared" si="17"/>
        <v xml:space="preserve">Does the lab perform the disk diffusion method of AST? </v>
      </c>
      <c r="B1070" s="26" t="s">
        <v>115</v>
      </c>
      <c r="C1070" s="26" t="s">
        <v>4737</v>
      </c>
      <c r="D1070" s="288" t="s">
        <v>4193</v>
      </c>
      <c r="E1070" s="553" t="s">
        <v>5954</v>
      </c>
    </row>
    <row r="1071" spans="1:5">
      <c r="A1071" s="295" t="str">
        <f t="shared" si="17"/>
        <v>If no, answer NA until 7.31</v>
      </c>
      <c r="B1071" s="26" t="s">
        <v>2714</v>
      </c>
      <c r="C1071" s="26" t="s">
        <v>2731</v>
      </c>
      <c r="D1071" s="288" t="s">
        <v>3099</v>
      </c>
      <c r="E1071" s="553" t="s">
        <v>5955</v>
      </c>
    </row>
    <row r="1072" spans="1:5" ht="69">
      <c r="A1072" s="295" t="str">
        <f t="shared" si="17"/>
        <v>Is antibiotic disk QC performed before placing newly received lot numbers/shipments into use? (Review QC records to confirm)</v>
      </c>
      <c r="B1072" s="26" t="s">
        <v>867</v>
      </c>
      <c r="C1072" s="26" t="s">
        <v>5956</v>
      </c>
      <c r="D1072" s="170" t="s">
        <v>4194</v>
      </c>
      <c r="E1072" s="553" t="s">
        <v>5957</v>
      </c>
    </row>
    <row r="1073" spans="1:5" ht="69">
      <c r="A1073" s="295" t="str">
        <f t="shared" si="17"/>
        <v xml:space="preserve">CLSI and EUCAST require that all antibiotic QC is performed each day of patient testing, not only when a new lot number is received. </v>
      </c>
      <c r="B1073" s="26" t="s">
        <v>2715</v>
      </c>
      <c r="C1073" s="26" t="s">
        <v>5958</v>
      </c>
      <c r="D1073" s="170" t="s">
        <v>4195</v>
      </c>
      <c r="E1073" s="553" t="s">
        <v>5959</v>
      </c>
    </row>
    <row r="1074" spans="1:5" ht="124.2">
      <c r="A1074" s="295" t="str">
        <f t="shared" si="17"/>
        <v>Labs that wish to reduce the frequency of antibiotic QC from daily to weekly may do so after demonstrating satisfactory performance with daily QC using one of two plans described in CLSI M02, section 4.7. Either the 20-30 day plan, or the 15-replicate plan.</v>
      </c>
      <c r="B1074" s="26" t="s">
        <v>1803</v>
      </c>
      <c r="C1074" s="26" t="s">
        <v>5960</v>
      </c>
      <c r="D1074" s="288" t="s">
        <v>4196</v>
      </c>
      <c r="E1074" s="553" t="s">
        <v>5961</v>
      </c>
    </row>
    <row r="1075" spans="1:5" ht="82.8">
      <c r="A1075" s="295" t="str">
        <f t="shared" si="17"/>
        <v>Is there documentation showing that the lab has successfully completed either the 20-30 day plan or the 15-replicate (3- x 5-day) plan for all antibiotic disks in use? (Request to see)</v>
      </c>
      <c r="B1075" s="26" t="s">
        <v>2716</v>
      </c>
      <c r="C1075" s="26" t="s">
        <v>5962</v>
      </c>
      <c r="D1075" s="288" t="s">
        <v>4197</v>
      </c>
      <c r="E1075" s="553" t="s">
        <v>5963</v>
      </c>
    </row>
    <row r="1076" spans="1:5" ht="69">
      <c r="A1076" s="295" t="str">
        <f t="shared" si="17"/>
        <v>Not including new lot QC, how often is antibiotic disk QC performed? (Confirm by reviewing QC records; go back several months)</v>
      </c>
      <c r="B1076" s="26" t="s">
        <v>2305</v>
      </c>
      <c r="C1076" s="26" t="s">
        <v>5964</v>
      </c>
      <c r="D1076" s="170" t="s">
        <v>4198</v>
      </c>
      <c r="E1076" s="553" t="s">
        <v>5965</v>
      </c>
    </row>
    <row r="1077" spans="1:5" ht="82.8">
      <c r="A1077" s="295" t="str">
        <f t="shared" si="17"/>
        <v>1: Each day that disk AST is performed on patients – 2: Weekly – 3: Every other week – 4: Monthly - 5: Other (describe in comments) – NA: disk method not used</v>
      </c>
      <c r="B1077" s="26" t="s">
        <v>868</v>
      </c>
      <c r="C1077" s="26" t="s">
        <v>5966</v>
      </c>
      <c r="D1077" s="170" t="s">
        <v>4199</v>
      </c>
      <c r="E1077" s="553" t="s">
        <v>5967</v>
      </c>
    </row>
    <row r="1078" spans="1:5" ht="69">
      <c r="A1078" s="295" t="str">
        <f t="shared" si="17"/>
        <v>Is antibiotic disk QC performed using the recommended ATCC reference strains below? (Review QC records to confirm)</v>
      </c>
      <c r="B1078" s="26" t="s">
        <v>866</v>
      </c>
      <c r="C1078" s="26" t="s">
        <v>5968</v>
      </c>
      <c r="D1078" s="288" t="s">
        <v>4200</v>
      </c>
      <c r="E1078" s="553" t="s">
        <v>5969</v>
      </c>
    </row>
    <row r="1079" spans="1:5" ht="27.6">
      <c r="A1079" s="295" t="str">
        <f t="shared" si="17"/>
        <v>Staphylococcus aureus ATCC 25923/CIP 76.25 (If CLSI standard used)</v>
      </c>
      <c r="B1079" s="26" t="s">
        <v>6942</v>
      </c>
      <c r="C1079" s="26" t="s">
        <v>6943</v>
      </c>
      <c r="D1079" s="288" t="s">
        <v>6944</v>
      </c>
      <c r="E1079" s="553" t="s">
        <v>7127</v>
      </c>
    </row>
    <row r="1080" spans="1:5" ht="27.6">
      <c r="A1080" s="295" t="str">
        <f t="shared" si="17"/>
        <v>Staphylococcus aureus ATCC 29213/CIP 103429 (If EUCAST standard used)</v>
      </c>
      <c r="B1080" s="26" t="s">
        <v>6946</v>
      </c>
      <c r="C1080" s="26" t="s">
        <v>6947</v>
      </c>
      <c r="D1080" s="288" t="s">
        <v>6948</v>
      </c>
      <c r="E1080" s="553" t="s">
        <v>7128</v>
      </c>
    </row>
    <row r="1081" spans="1:5">
      <c r="A1081" s="295" t="str">
        <f t="shared" si="17"/>
        <v>E. coli ATCC 25922/CIP 76.24</v>
      </c>
      <c r="B1081" s="26" t="s">
        <v>6951</v>
      </c>
      <c r="C1081" s="26" t="s">
        <v>2722</v>
      </c>
      <c r="D1081" s="288" t="s">
        <v>2722</v>
      </c>
      <c r="E1081" s="553" t="s">
        <v>2722</v>
      </c>
    </row>
    <row r="1082" spans="1:5" ht="27.6">
      <c r="A1082" s="295" t="str">
        <f t="shared" si="17"/>
        <v>Pseudomonas aeruginosa ATCC 27853//CIP 76.110</v>
      </c>
      <c r="B1082" s="26" t="s">
        <v>2717</v>
      </c>
      <c r="C1082" s="26" t="s">
        <v>2732</v>
      </c>
      <c r="D1082" s="288" t="s">
        <v>3100</v>
      </c>
      <c r="E1082" s="553" t="s">
        <v>5970</v>
      </c>
    </row>
    <row r="1083" spans="1:5">
      <c r="A1083" s="295" t="str">
        <f t="shared" si="17"/>
        <v>Streptococcus pneumoniae ATCC 49619</v>
      </c>
      <c r="B1083" s="26" t="s">
        <v>6950</v>
      </c>
      <c r="C1083" s="26" t="s">
        <v>6950</v>
      </c>
      <c r="D1083" s="288" t="s">
        <v>6950</v>
      </c>
      <c r="E1083" s="553" t="s">
        <v>6950</v>
      </c>
    </row>
    <row r="1084" spans="1:5" ht="27.6">
      <c r="A1084" s="295" t="str">
        <f t="shared" si="17"/>
        <v>QC OF GRADIENT STRIP AST METHODS</v>
      </c>
      <c r="B1084" s="26" t="s">
        <v>649</v>
      </c>
      <c r="C1084" s="26" t="s">
        <v>4738</v>
      </c>
      <c r="D1084" s="288" t="s">
        <v>3733</v>
      </c>
      <c r="E1084" s="553" t="s">
        <v>5971</v>
      </c>
    </row>
    <row r="1085" spans="1:5" ht="41.4">
      <c r="A1085" s="295" t="str">
        <f t="shared" si="17"/>
        <v>Does the lab use the gradient strip method of AST (Etest/Liofilechem)? (ungraded)</v>
      </c>
      <c r="B1085" s="26" t="s">
        <v>116</v>
      </c>
      <c r="C1085" s="26" t="s">
        <v>4739</v>
      </c>
      <c r="D1085" s="170" t="s">
        <v>4201</v>
      </c>
      <c r="E1085" s="553" t="s">
        <v>5972</v>
      </c>
    </row>
    <row r="1086" spans="1:5">
      <c r="A1086" s="295" t="str">
        <f t="shared" si="17"/>
        <v>If no, answer NA until 7.40</v>
      </c>
      <c r="B1086" s="26" t="s">
        <v>2718</v>
      </c>
      <c r="C1086" s="26" t="s">
        <v>2733</v>
      </c>
      <c r="D1086" s="288" t="s">
        <v>4202</v>
      </c>
      <c r="E1086" s="553" t="s">
        <v>5973</v>
      </c>
    </row>
    <row r="1087" spans="1:5" ht="69">
      <c r="A1087" s="295" t="str">
        <f t="shared" si="17"/>
        <v>Is gradient strip QC performed before placing new lot numbers/shipments into use? (Review QC records to confirm)</v>
      </c>
      <c r="B1087" s="26" t="s">
        <v>117</v>
      </c>
      <c r="C1087" s="26" t="s">
        <v>4740</v>
      </c>
      <c r="D1087" s="170" t="s">
        <v>4203</v>
      </c>
      <c r="E1087" s="553" t="s">
        <v>5974</v>
      </c>
    </row>
    <row r="1088" spans="1:5" ht="82.8">
      <c r="A1088" s="295" t="str">
        <f t="shared" si="17"/>
        <v>Is there documentation showing that the lab has successfully completed either the 20-30 day plan or the 15-replicate (3- x 5-day) plan for all antibiotic strips in use? (Request to see)</v>
      </c>
      <c r="B1088" s="26" t="s">
        <v>2719</v>
      </c>
      <c r="C1088" s="26" t="s">
        <v>5975</v>
      </c>
      <c r="D1088" s="170" t="s">
        <v>4204</v>
      </c>
      <c r="E1088" s="553" t="s">
        <v>5976</v>
      </c>
    </row>
    <row r="1089" spans="1:5" ht="69">
      <c r="A1089" s="295" t="str">
        <f t="shared" si="17"/>
        <v>Not including new lot QC, how often is antibiotic strip QC performed? (Confirm by reviewing QC records; go back several months)</v>
      </c>
      <c r="B1089" s="26" t="s">
        <v>2306</v>
      </c>
      <c r="C1089" s="26" t="s">
        <v>5977</v>
      </c>
      <c r="D1089" s="170" t="s">
        <v>4205</v>
      </c>
      <c r="E1089" s="553" t="s">
        <v>5978</v>
      </c>
    </row>
    <row r="1090" spans="1:5" ht="110.4">
      <c r="A1090" s="295" t="str">
        <f t="shared" si="17"/>
        <v>1: Each day that strip AST is performed on patients – 2: Weekly – 3: Every other week – 4: Monthly - 5: Other (describe in comments) – NA: strip method not used</v>
      </c>
      <c r="B1090" s="26" t="s">
        <v>869</v>
      </c>
      <c r="C1090" s="26" t="s">
        <v>5979</v>
      </c>
      <c r="D1090" s="170" t="s">
        <v>4206</v>
      </c>
      <c r="E1090" s="553" t="s">
        <v>5980</v>
      </c>
    </row>
    <row r="1091" spans="1:5" ht="69">
      <c r="A1091" s="295" t="str">
        <f t="shared" si="17"/>
        <v>Is antibiotic strip QC performed using the recommended ATCC reference strains below? (Review QC records to confirm)</v>
      </c>
      <c r="B1091" s="26" t="s">
        <v>1949</v>
      </c>
      <c r="C1091" s="26" t="s">
        <v>5981</v>
      </c>
      <c r="D1091" s="288" t="s">
        <v>4207</v>
      </c>
      <c r="E1091" s="553" t="s">
        <v>5982</v>
      </c>
    </row>
    <row r="1092" spans="1:5" ht="27.6">
      <c r="A1092" s="295" t="str">
        <f t="shared" si="17"/>
        <v>Staphylococcus aureus ATCC 25923/CIP 76.25 (If CLSI standard used)</v>
      </c>
      <c r="B1092" s="26" t="s">
        <v>6942</v>
      </c>
      <c r="C1092" s="26" t="s">
        <v>6943</v>
      </c>
      <c r="D1092" s="288" t="s">
        <v>6944</v>
      </c>
      <c r="E1092" s="553" t="s">
        <v>6976</v>
      </c>
    </row>
    <row r="1093" spans="1:5" ht="27.6">
      <c r="A1093" s="295" t="str">
        <f t="shared" si="17"/>
        <v>Staphylococcus aureus ATCC 29213/CIP 103429 (If EUCAST standard used)</v>
      </c>
      <c r="B1093" s="26" t="s">
        <v>6946</v>
      </c>
      <c r="C1093" s="26" t="s">
        <v>6947</v>
      </c>
      <c r="D1093" s="288" t="s">
        <v>6948</v>
      </c>
      <c r="E1093" s="553" t="s">
        <v>6977</v>
      </c>
    </row>
    <row r="1094" spans="1:5">
      <c r="A1094" s="295" t="str">
        <f t="shared" si="17"/>
        <v>E. coli ATCC 25922/CIP 76.24</v>
      </c>
      <c r="B1094" s="26" t="s">
        <v>6951</v>
      </c>
      <c r="C1094" s="26" t="s">
        <v>2722</v>
      </c>
      <c r="D1094" s="288" t="s">
        <v>2722</v>
      </c>
      <c r="E1094" s="553" t="s">
        <v>2722</v>
      </c>
    </row>
    <row r="1095" spans="1:5" ht="27.6">
      <c r="A1095" s="295" t="str">
        <f t="shared" si="17"/>
        <v>Pseudomonas aeruginosa ATCC 27853//CIP 76.110</v>
      </c>
      <c r="B1095" s="26" t="s">
        <v>2717</v>
      </c>
      <c r="C1095" s="26" t="s">
        <v>2732</v>
      </c>
      <c r="D1095" s="288" t="s">
        <v>3100</v>
      </c>
      <c r="E1095" s="553" t="s">
        <v>3100</v>
      </c>
    </row>
    <row r="1096" spans="1:5">
      <c r="A1096" s="295" t="str">
        <f t="shared" si="17"/>
        <v>Streptococcus pneumoniae ATCC 49619</v>
      </c>
      <c r="B1096" s="26" t="s">
        <v>6950</v>
      </c>
      <c r="C1096" s="26" t="s">
        <v>6950</v>
      </c>
      <c r="D1096" s="288" t="s">
        <v>6950</v>
      </c>
      <c r="E1096" s="553" t="s">
        <v>6950</v>
      </c>
    </row>
    <row r="1097" spans="1:5" ht="27.6">
      <c r="A1097" s="295" t="str">
        <f t="shared" si="17"/>
        <v>QC OF AUTOMATED AST SYSTEMS</v>
      </c>
      <c r="B1097" s="26" t="s">
        <v>731</v>
      </c>
      <c r="C1097" s="26" t="s">
        <v>5983</v>
      </c>
      <c r="D1097" s="170" t="s">
        <v>3734</v>
      </c>
      <c r="E1097" s="553" t="s">
        <v>5984</v>
      </c>
    </row>
    <row r="1098" spans="1:5" ht="41.4">
      <c r="A1098" s="295" t="str">
        <f t="shared" ref="A1098:A1161" si="18">IF(langue=1,B1098,IF(langue=2,C1098,IF(langue=3,D1098,IF(langue=4,E1098,F1098))))</f>
        <v>Does the lab use an automated instrument for AST? (e.g., Vitek, Phoenix, Microscan, etc)</v>
      </c>
      <c r="B1098" s="26" t="s">
        <v>6978</v>
      </c>
      <c r="C1098" s="26" t="s">
        <v>4741</v>
      </c>
      <c r="D1098" s="288" t="s">
        <v>4208</v>
      </c>
      <c r="E1098" s="553" t="s">
        <v>5985</v>
      </c>
    </row>
    <row r="1099" spans="1:5" ht="27.6">
      <c r="A1099" s="295" t="str">
        <f t="shared" si="18"/>
        <v>if No, answer NA until the end</v>
      </c>
      <c r="B1099" s="26" t="s">
        <v>6979</v>
      </c>
      <c r="C1099" s="26" t="s">
        <v>5986</v>
      </c>
      <c r="D1099" s="288" t="s">
        <v>3101</v>
      </c>
      <c r="E1099" s="553" t="s">
        <v>5987</v>
      </c>
    </row>
    <row r="1100" spans="1:5" ht="41.4">
      <c r="A1100" s="295" t="str">
        <f t="shared" si="18"/>
        <v>Are the antibiotic cards/trays stored at the manufacturer-recommended temperatures?</v>
      </c>
      <c r="B1100" s="26" t="s">
        <v>870</v>
      </c>
      <c r="C1100" s="26" t="s">
        <v>4742</v>
      </c>
      <c r="D1100" s="170" t="s">
        <v>4209</v>
      </c>
      <c r="E1100" s="553" t="s">
        <v>5988</v>
      </c>
    </row>
    <row r="1101" spans="1:5" ht="69">
      <c r="A1101" s="295" t="str">
        <f t="shared" si="18"/>
        <v>Is QC of the antibiotic cards/trays performed before placing new lot numbers/shipments into use? (Review QC records to confirm)</v>
      </c>
      <c r="B1101" s="26" t="s">
        <v>871</v>
      </c>
      <c r="C1101" s="26" t="s">
        <v>5989</v>
      </c>
      <c r="D1101" s="170" t="s">
        <v>4210</v>
      </c>
      <c r="E1101" s="553" t="s">
        <v>5990</v>
      </c>
    </row>
    <row r="1102" spans="1:5" ht="82.8">
      <c r="A1102" s="295" t="str">
        <f t="shared" si="18"/>
        <v>Is there documentation showing that the lab has successfully completed either the 20-30 day plan or the 15-replicate (3- x 5-day) plan for all antibiotic cards/trays in use? (Request to see)</v>
      </c>
      <c r="B1102" s="26" t="s">
        <v>2720</v>
      </c>
      <c r="C1102" s="26" t="s">
        <v>5991</v>
      </c>
      <c r="D1102" s="170" t="s">
        <v>4211</v>
      </c>
      <c r="E1102" s="553" t="s">
        <v>5992</v>
      </c>
    </row>
    <row r="1103" spans="1:5" ht="82.8">
      <c r="A1103" s="295" t="str">
        <f t="shared" si="18"/>
        <v>Not including new lot QC, how often is antibiotic card/tray QC performed? (Confirm by reviewing QC records; go back several months)</v>
      </c>
      <c r="B1103" s="26" t="s">
        <v>2307</v>
      </c>
      <c r="C1103" s="26" t="s">
        <v>5993</v>
      </c>
      <c r="D1103" s="170" t="s">
        <v>4212</v>
      </c>
      <c r="E1103" s="553" t="s">
        <v>5994</v>
      </c>
    </row>
    <row r="1104" spans="1:5" ht="96.6">
      <c r="A1104" s="295" t="str">
        <f t="shared" si="18"/>
        <v>1: Each day that automated AST is performed on patients – 2: Weekly – 3: Every other week – 4: Monthly - 5: Other (describe in comments) – NA: automated method not used</v>
      </c>
      <c r="B1104" s="26" t="s">
        <v>872</v>
      </c>
      <c r="C1104" s="26" t="s">
        <v>5995</v>
      </c>
      <c r="D1104" s="288" t="s">
        <v>4213</v>
      </c>
      <c r="E1104" s="553" t="s">
        <v>5996</v>
      </c>
    </row>
    <row r="1105" spans="1:5" ht="69">
      <c r="A1105" s="295" t="str">
        <f t="shared" si="18"/>
        <v>Is QC of automated AST systems performed using the recommended ATCC reference strains below? (Review QC records to confirm)</v>
      </c>
      <c r="B1105" s="26" t="s">
        <v>1950</v>
      </c>
      <c r="C1105" s="26" t="s">
        <v>4743</v>
      </c>
      <c r="D1105" s="288" t="s">
        <v>4214</v>
      </c>
      <c r="E1105" s="553" t="s">
        <v>5997</v>
      </c>
    </row>
    <row r="1106" spans="1:5" ht="27.6">
      <c r="A1106" s="295" t="str">
        <f t="shared" si="18"/>
        <v>Staphylococcus aureus ATCC 25923/CIP 76.25 (If CLSI standard used)</v>
      </c>
      <c r="B1106" s="26" t="s">
        <v>6942</v>
      </c>
      <c r="C1106" s="26" t="s">
        <v>6943</v>
      </c>
      <c r="D1106" s="288" t="s">
        <v>6944</v>
      </c>
      <c r="E1106" s="553" t="s">
        <v>6980</v>
      </c>
    </row>
    <row r="1107" spans="1:5" ht="27.6">
      <c r="A1107" s="295" t="str">
        <f t="shared" si="18"/>
        <v>Staphylococcus aureus ATCC 29213/CIP 103429 (If EUCAST standard used)</v>
      </c>
      <c r="B1107" s="26" t="s">
        <v>6946</v>
      </c>
      <c r="C1107" s="26" t="s">
        <v>6947</v>
      </c>
      <c r="D1107" s="288" t="s">
        <v>6948</v>
      </c>
      <c r="E1107" s="553" t="s">
        <v>6981</v>
      </c>
    </row>
    <row r="1108" spans="1:5">
      <c r="A1108" s="295" t="str">
        <f t="shared" si="18"/>
        <v>E. coli ATCC 25922/CIP 76.24</v>
      </c>
      <c r="B1108" s="26" t="s">
        <v>6951</v>
      </c>
      <c r="C1108" s="26" t="s">
        <v>2722</v>
      </c>
      <c r="D1108" s="288" t="s">
        <v>2722</v>
      </c>
      <c r="E1108" s="553" t="s">
        <v>2722</v>
      </c>
    </row>
    <row r="1109" spans="1:5" ht="27.6">
      <c r="A1109" s="295" t="str">
        <f t="shared" si="18"/>
        <v>Pseudomonas aeruginosa ATCC 27853//CIP 76.110</v>
      </c>
      <c r="B1109" s="26" t="s">
        <v>2717</v>
      </c>
      <c r="C1109" s="26" t="s">
        <v>2732</v>
      </c>
      <c r="D1109" s="288" t="s">
        <v>3100</v>
      </c>
      <c r="E1109" s="553" t="s">
        <v>3100</v>
      </c>
    </row>
    <row r="1110" spans="1:5">
      <c r="A1110" s="295" t="str">
        <f t="shared" si="18"/>
        <v>Streptococcus pneumoniae ATCC 49619</v>
      </c>
      <c r="B1110" s="26" t="s">
        <v>6950</v>
      </c>
      <c r="C1110" s="26" t="s">
        <v>6950</v>
      </c>
      <c r="D1110" s="288" t="s">
        <v>6950</v>
      </c>
      <c r="E1110" s="553" t="s">
        <v>6950</v>
      </c>
    </row>
    <row r="1111" spans="1:5" ht="27.6">
      <c r="A1111" s="295" t="str">
        <f t="shared" si="18"/>
        <v>8- SPECIMEN COLLECTION, TRANSPORT &amp; MANAGEMENT</v>
      </c>
      <c r="B1111" s="26" t="s">
        <v>1857</v>
      </c>
      <c r="C1111" s="26" t="s">
        <v>2448</v>
      </c>
      <c r="D1111" s="288" t="s">
        <v>2930</v>
      </c>
      <c r="E1111" s="553" t="s">
        <v>5074</v>
      </c>
    </row>
    <row r="1112" spans="1:5" ht="55.2">
      <c r="A1112" s="295" t="str">
        <f t="shared" si="18"/>
        <v>Please note: all questions refer only to clinical patient specimens, NOT to research  or environmental specimens</v>
      </c>
      <c r="B1112" s="26" t="s">
        <v>2088</v>
      </c>
      <c r="C1112" s="26" t="s">
        <v>2736</v>
      </c>
      <c r="D1112" s="288" t="s">
        <v>4215</v>
      </c>
      <c r="E1112" s="553" t="s">
        <v>5998</v>
      </c>
    </row>
    <row r="1113" spans="1:5">
      <c r="A1113" s="295" t="str">
        <f t="shared" si="18"/>
        <v>SPECIMEN MANAGEMENT</v>
      </c>
      <c r="B1113" s="26" t="s">
        <v>890</v>
      </c>
      <c r="C1113" s="26" t="s">
        <v>2449</v>
      </c>
      <c r="D1113" s="288" t="s">
        <v>2931</v>
      </c>
      <c r="E1113" s="553" t="s">
        <v>5075</v>
      </c>
    </row>
    <row r="1114" spans="1:5" ht="69">
      <c r="A1114" s="295" t="str">
        <f t="shared" si="18"/>
        <v>Does lab policy require that all specimens are accompanied by a laboratory-approved test requisition form?</v>
      </c>
      <c r="B1114" s="26" t="s">
        <v>99</v>
      </c>
      <c r="C1114" s="26" t="s">
        <v>4744</v>
      </c>
      <c r="D1114" s="170" t="s">
        <v>4216</v>
      </c>
      <c r="E1114" s="553" t="s">
        <v>5999</v>
      </c>
    </row>
    <row r="1115" spans="1:5" ht="69">
      <c r="A1115" s="295" t="str">
        <f t="shared" si="18"/>
        <v>Does the lab enforce a two-identifier system? (e.g., both patient name and a numeric identifier must be present on the requisition and on the specimen).</v>
      </c>
      <c r="B1115" s="26" t="s">
        <v>102</v>
      </c>
      <c r="C1115" s="26" t="s">
        <v>4745</v>
      </c>
      <c r="D1115" s="288" t="s">
        <v>4217</v>
      </c>
      <c r="E1115" s="553" t="s">
        <v>6000</v>
      </c>
    </row>
    <row r="1116" spans="1:5" ht="41.4">
      <c r="A1116" s="295" t="str">
        <f t="shared" si="18"/>
        <v>Are sensitive specimens processed within one hour of reaching the laboratory?</v>
      </c>
      <c r="B1116" s="26" t="s">
        <v>1866</v>
      </c>
      <c r="C1116" s="26" t="s">
        <v>2737</v>
      </c>
      <c r="D1116" s="170" t="s">
        <v>4218</v>
      </c>
      <c r="E1116" s="553" t="s">
        <v>6001</v>
      </c>
    </row>
    <row r="1117" spans="1:5" ht="96.6">
      <c r="A1117" s="295" t="str">
        <f t="shared" si="18"/>
        <v>When the bacteriology lab is closed, does another laboratory department process (culture) the specimens or ensure that they are stored at the proper temperatures? (Select NA if bacteriology lab does not close)</v>
      </c>
      <c r="B1117" s="26" t="s">
        <v>6982</v>
      </c>
      <c r="C1117" s="26" t="s">
        <v>4746</v>
      </c>
      <c r="D1117" s="288" t="s">
        <v>4219</v>
      </c>
      <c r="E1117" s="553" t="s">
        <v>6002</v>
      </c>
    </row>
    <row r="1118" spans="1:5" ht="41.4">
      <c r="A1118" s="295" t="str">
        <f t="shared" si="18"/>
        <v>Does the lab store specimens properly prior to and following testing?</v>
      </c>
      <c r="B1118" s="26" t="s">
        <v>889</v>
      </c>
      <c r="C1118" s="26" t="s">
        <v>4747</v>
      </c>
      <c r="D1118" s="288" t="s">
        <v>4220</v>
      </c>
      <c r="E1118" s="553" t="s">
        <v>6003</v>
      </c>
    </row>
    <row r="1119" spans="1:5">
      <c r="A1119" s="295" t="str">
        <f t="shared" si="18"/>
        <v>Blood culture</v>
      </c>
      <c r="B1119" s="26" t="s">
        <v>843</v>
      </c>
      <c r="C1119" s="26" t="s">
        <v>4523</v>
      </c>
      <c r="D1119" s="288" t="s">
        <v>4089</v>
      </c>
      <c r="E1119" s="553" t="s">
        <v>4934</v>
      </c>
    </row>
    <row r="1120" spans="1:5">
      <c r="A1120" s="295" t="str">
        <f t="shared" si="18"/>
        <v>Urine culture</v>
      </c>
      <c r="B1120" s="26" t="s">
        <v>844</v>
      </c>
      <c r="C1120" s="26" t="s">
        <v>6004</v>
      </c>
      <c r="D1120" s="288" t="s">
        <v>4090</v>
      </c>
      <c r="E1120" s="553" t="s">
        <v>4935</v>
      </c>
    </row>
    <row r="1121" spans="1:5">
      <c r="A1121" s="295" t="str">
        <f t="shared" si="18"/>
        <v>Stool culture</v>
      </c>
      <c r="B1121" s="26" t="s">
        <v>845</v>
      </c>
      <c r="C1121" s="26" t="s">
        <v>5745</v>
      </c>
      <c r="D1121" s="288" t="s">
        <v>4221</v>
      </c>
      <c r="E1121" s="553" t="s">
        <v>4936</v>
      </c>
    </row>
    <row r="1122" spans="1:5">
      <c r="A1122" s="295" t="str">
        <f t="shared" si="18"/>
        <v>Respiratory culture</v>
      </c>
      <c r="B1122" s="26" t="s">
        <v>1593</v>
      </c>
      <c r="C1122" s="26" t="s">
        <v>2738</v>
      </c>
      <c r="D1122" s="288" t="s">
        <v>3102</v>
      </c>
      <c r="E1122" s="553" t="s">
        <v>6005</v>
      </c>
    </row>
    <row r="1123" spans="1:5">
      <c r="A1123" s="295" t="str">
        <f t="shared" si="18"/>
        <v>Wound culture</v>
      </c>
      <c r="B1123" s="26" t="s">
        <v>847</v>
      </c>
      <c r="C1123" s="26" t="s">
        <v>6006</v>
      </c>
      <c r="D1123" s="288" t="s">
        <v>4091</v>
      </c>
      <c r="E1123" s="553" t="s">
        <v>6007</v>
      </c>
    </row>
    <row r="1124" spans="1:5">
      <c r="A1124" s="295" t="str">
        <f t="shared" si="18"/>
        <v>Genital culture</v>
      </c>
      <c r="B1124" s="26" t="s">
        <v>1786</v>
      </c>
      <c r="C1124" s="26" t="s">
        <v>6008</v>
      </c>
      <c r="D1124" s="288" t="s">
        <v>4222</v>
      </c>
      <c r="E1124" s="553" t="s">
        <v>6009</v>
      </c>
    </row>
    <row r="1125" spans="1:5">
      <c r="A1125" s="295" t="str">
        <f t="shared" si="18"/>
        <v>Cerebrospinal fluid culture</v>
      </c>
      <c r="B1125" s="26" t="s">
        <v>1787</v>
      </c>
      <c r="C1125" s="26" t="s">
        <v>2739</v>
      </c>
      <c r="D1125" s="288" t="s">
        <v>3103</v>
      </c>
      <c r="E1125" s="553" t="s">
        <v>6010</v>
      </c>
    </row>
    <row r="1126" spans="1:5" ht="41.4">
      <c r="A1126" s="295" t="str">
        <f t="shared" si="18"/>
        <v>Sterile body fluid culture (pleural, pericardial, peritoneal, synovial)</v>
      </c>
      <c r="B1126" s="26" t="s">
        <v>1788</v>
      </c>
      <c r="C1126" s="26" t="s">
        <v>6011</v>
      </c>
      <c r="D1126" s="288" t="s">
        <v>3104</v>
      </c>
      <c r="E1126" s="553" t="s">
        <v>6012</v>
      </c>
    </row>
    <row r="1127" spans="1:5" ht="138">
      <c r="A1127" s="295" t="str">
        <f t="shared" si="18"/>
        <v>Standard: ISO 15189: 5.4.1, 5.4.5, 5.4.7, 5.4.8, 5.4.10, 5.4.11, 5.4.13 Standard: ISO 15189: 5.2.9, 5.4.14, 5.7.3 Specimens should be stored under the appropriate conditions to maintain the stability of the specimen. Specimens no longer required should be disposed of in a safe manner, according to biosafety regulations</v>
      </c>
      <c r="B1127" s="26" t="s">
        <v>107</v>
      </c>
      <c r="C1127" s="26" t="s">
        <v>4748</v>
      </c>
      <c r="D1127" s="288" t="s">
        <v>4223</v>
      </c>
      <c r="E1127" s="553" t="s">
        <v>6013</v>
      </c>
    </row>
    <row r="1128" spans="1:5">
      <c r="A1128" s="295" t="str">
        <f t="shared" si="18"/>
        <v>SPECIMEN REJECTION</v>
      </c>
      <c r="B1128" s="26" t="s">
        <v>891</v>
      </c>
      <c r="C1128" s="26" t="s">
        <v>2450</v>
      </c>
      <c r="D1128" s="288" t="s">
        <v>2932</v>
      </c>
      <c r="E1128" s="553" t="s">
        <v>5076</v>
      </c>
    </row>
    <row r="1129" spans="1:5" ht="55.2">
      <c r="A1129" s="295" t="str">
        <f t="shared" si="18"/>
        <v>Are rejection criteria written down in an SOP or bench aide for each specimen type?</v>
      </c>
      <c r="B1129" s="26" t="s">
        <v>1636</v>
      </c>
      <c r="C1129" s="26" t="s">
        <v>6014</v>
      </c>
      <c r="D1129" s="288" t="s">
        <v>6852</v>
      </c>
      <c r="E1129" s="553" t="s">
        <v>6015</v>
      </c>
    </row>
    <row r="1130" spans="1:5">
      <c r="A1130" s="295" t="str">
        <f t="shared" si="18"/>
        <v>Blood culture</v>
      </c>
      <c r="B1130" s="26" t="s">
        <v>843</v>
      </c>
      <c r="C1130" s="26" t="s">
        <v>4523</v>
      </c>
      <c r="D1130" s="288" t="s">
        <v>4089</v>
      </c>
      <c r="E1130" s="553" t="s">
        <v>4934</v>
      </c>
    </row>
    <row r="1131" spans="1:5">
      <c r="A1131" s="295" t="str">
        <f t="shared" si="18"/>
        <v>Urine culture</v>
      </c>
      <c r="B1131" s="26" t="s">
        <v>844</v>
      </c>
      <c r="C1131" s="26" t="s">
        <v>6004</v>
      </c>
      <c r="D1131" s="288" t="s">
        <v>4090</v>
      </c>
      <c r="E1131" s="553" t="s">
        <v>4935</v>
      </c>
    </row>
    <row r="1132" spans="1:5">
      <c r="A1132" s="295" t="str">
        <f t="shared" si="18"/>
        <v>Stool culture</v>
      </c>
      <c r="B1132" s="26" t="s">
        <v>845</v>
      </c>
      <c r="C1132" s="26" t="s">
        <v>5745</v>
      </c>
      <c r="D1132" s="288" t="s">
        <v>4221</v>
      </c>
      <c r="E1132" s="553" t="s">
        <v>4936</v>
      </c>
    </row>
    <row r="1133" spans="1:5">
      <c r="A1133" s="295" t="str">
        <f t="shared" si="18"/>
        <v>Respiratory culture</v>
      </c>
      <c r="B1133" s="26" t="s">
        <v>1593</v>
      </c>
      <c r="C1133" s="26" t="s">
        <v>2738</v>
      </c>
      <c r="D1133" s="288" t="s">
        <v>3102</v>
      </c>
      <c r="E1133" s="553" t="s">
        <v>6005</v>
      </c>
    </row>
    <row r="1134" spans="1:5">
      <c r="A1134" s="295" t="str">
        <f t="shared" si="18"/>
        <v>Wound culture</v>
      </c>
      <c r="B1134" s="26" t="s">
        <v>847</v>
      </c>
      <c r="C1134" s="26" t="s">
        <v>6006</v>
      </c>
      <c r="D1134" s="288" t="s">
        <v>4091</v>
      </c>
      <c r="E1134" s="553" t="s">
        <v>6007</v>
      </c>
    </row>
    <row r="1135" spans="1:5">
      <c r="A1135" s="295" t="str">
        <f t="shared" si="18"/>
        <v>Genital culture</v>
      </c>
      <c r="B1135" s="26" t="s">
        <v>1786</v>
      </c>
      <c r="C1135" s="26" t="s">
        <v>6008</v>
      </c>
      <c r="D1135" s="288" t="s">
        <v>4222</v>
      </c>
      <c r="E1135" s="553" t="s">
        <v>6009</v>
      </c>
    </row>
    <row r="1136" spans="1:5">
      <c r="A1136" s="295" t="str">
        <f t="shared" si="18"/>
        <v>Cerebrospinal fluid culture</v>
      </c>
      <c r="B1136" s="26" t="s">
        <v>1787</v>
      </c>
      <c r="C1136" s="26" t="s">
        <v>2739</v>
      </c>
      <c r="D1136" s="288" t="s">
        <v>3103</v>
      </c>
      <c r="E1136" s="553" t="s">
        <v>6010</v>
      </c>
    </row>
    <row r="1137" spans="1:5" ht="41.4">
      <c r="A1137" s="295" t="str">
        <f t="shared" si="18"/>
        <v>Sterile body fluid culture (pleural, pericardial, peritoneal, synovial)</v>
      </c>
      <c r="B1137" s="26" t="s">
        <v>1788</v>
      </c>
      <c r="C1137" s="26" t="s">
        <v>6011</v>
      </c>
      <c r="D1137" s="288" t="s">
        <v>3104</v>
      </c>
      <c r="E1137" s="553" t="s">
        <v>6012</v>
      </c>
    </row>
    <row r="1138" spans="1:5" ht="27.6">
      <c r="A1138" s="295" t="str">
        <f t="shared" si="18"/>
        <v>Are unlabeled specimens rejected?</v>
      </c>
      <c r="B1138" s="26" t="s">
        <v>1633</v>
      </c>
      <c r="C1138" s="26" t="s">
        <v>4749</v>
      </c>
      <c r="D1138" s="288" t="s">
        <v>4224</v>
      </c>
      <c r="E1138" s="553" t="s">
        <v>6016</v>
      </c>
    </row>
    <row r="1139" spans="1:5" ht="27.6">
      <c r="A1139" s="295" t="str">
        <f t="shared" si="18"/>
        <v>Are mislabeled specimens rejected?</v>
      </c>
      <c r="B1139" s="26" t="s">
        <v>1634</v>
      </c>
      <c r="C1139" s="26" t="s">
        <v>4750</v>
      </c>
      <c r="D1139" s="288" t="s">
        <v>3105</v>
      </c>
      <c r="E1139" s="553" t="s">
        <v>6017</v>
      </c>
    </row>
    <row r="1140" spans="1:5" ht="27.6">
      <c r="A1140" s="295" t="str">
        <f t="shared" si="18"/>
        <v>Are leaking specimens rejected?</v>
      </c>
      <c r="B1140" s="26" t="s">
        <v>1635</v>
      </c>
      <c r="C1140" s="26" t="s">
        <v>2740</v>
      </c>
      <c r="D1140" s="288" t="s">
        <v>4225</v>
      </c>
      <c r="E1140" s="553" t="s">
        <v>6018</v>
      </c>
    </row>
    <row r="1141" spans="1:5" ht="41.4">
      <c r="A1141" s="295" t="str">
        <f t="shared" si="18"/>
        <v>Are specimens rejected if not transported to the lab within established time limits?</v>
      </c>
      <c r="B1141" s="26" t="s">
        <v>1800</v>
      </c>
      <c r="C1141" s="26" t="s">
        <v>2741</v>
      </c>
      <c r="D1141" s="288" t="s">
        <v>3106</v>
      </c>
      <c r="E1141" s="553" t="s">
        <v>6019</v>
      </c>
    </row>
    <row r="1142" spans="1:5" ht="55.2">
      <c r="A1142" s="295" t="str">
        <f t="shared" si="18"/>
        <v>Are specimens rejected if there is evidence that they were not maintained in proper conditions during and prior to transport?</v>
      </c>
      <c r="B1142" s="26" t="s">
        <v>1801</v>
      </c>
      <c r="C1142" s="26" t="s">
        <v>4751</v>
      </c>
      <c r="D1142" s="288" t="s">
        <v>3107</v>
      </c>
      <c r="E1142" s="553" t="s">
        <v>6020</v>
      </c>
    </row>
    <row r="1143" spans="1:5" ht="41.4">
      <c r="A1143" s="295" t="str">
        <f t="shared" si="18"/>
        <v>Is there evidence that specimen rejection criteria are enforced (review rejection log)?</v>
      </c>
      <c r="B1143" s="26" t="s">
        <v>29</v>
      </c>
      <c r="C1143" s="26" t="s">
        <v>6021</v>
      </c>
      <c r="D1143" s="288" t="s">
        <v>3108</v>
      </c>
      <c r="E1143" s="553" t="s">
        <v>6022</v>
      </c>
    </row>
    <row r="1144" spans="1:5" ht="41.4">
      <c r="A1144" s="295" t="str">
        <f t="shared" si="18"/>
        <v>Does the lab maintain quality indicators regarding the number of specimens rejected?</v>
      </c>
      <c r="B1144" s="26" t="s">
        <v>892</v>
      </c>
      <c r="C1144" s="26" t="s">
        <v>6023</v>
      </c>
      <c r="D1144" s="288" t="s">
        <v>3109</v>
      </c>
      <c r="E1144" s="553" t="s">
        <v>6024</v>
      </c>
    </row>
    <row r="1145" spans="1:5" ht="69">
      <c r="A1145" s="295" t="str">
        <f t="shared" si="18"/>
        <v>When specimens are rejected, does the lab notify the ward or clinic immediately so that a new specimen may be collected?</v>
      </c>
      <c r="B1145" s="26" t="s">
        <v>1951</v>
      </c>
      <c r="C1145" s="26" t="s">
        <v>2742</v>
      </c>
      <c r="D1145" s="288" t="s">
        <v>4226</v>
      </c>
      <c r="E1145" s="553" t="s">
        <v>6025</v>
      </c>
    </row>
    <row r="1146" spans="1:5" ht="27.6">
      <c r="A1146" s="295" t="str">
        <f t="shared" si="18"/>
        <v>BLOOD SPECIMEN COLLECTION and TRANSPORT</v>
      </c>
      <c r="B1146" s="26" t="s">
        <v>893</v>
      </c>
      <c r="C1146" s="26" t="s">
        <v>2451</v>
      </c>
      <c r="D1146" s="288" t="s">
        <v>2933</v>
      </c>
      <c r="E1146" s="553" t="s">
        <v>5077</v>
      </c>
    </row>
    <row r="1147" spans="1:5" ht="55.2">
      <c r="A1147" s="295" t="str">
        <f t="shared" si="18"/>
        <v>Does the lab provide blood culture specimen collection instructions/SOPs to patient sample collection areas?</v>
      </c>
      <c r="B1147" s="26" t="s">
        <v>873</v>
      </c>
      <c r="C1147" s="26" t="s">
        <v>6026</v>
      </c>
      <c r="D1147" s="170" t="s">
        <v>4227</v>
      </c>
      <c r="E1147" s="553" t="s">
        <v>6027</v>
      </c>
    </row>
    <row r="1148" spans="1:5" ht="55.2">
      <c r="A1148" s="295" t="str">
        <f t="shared" si="18"/>
        <v>Does the lab (or other department) provide annual training to clinical staff on blood culture specimen collection?</v>
      </c>
      <c r="B1148" s="26" t="s">
        <v>1589</v>
      </c>
      <c r="C1148" s="26" t="s">
        <v>2743</v>
      </c>
      <c r="D1148" s="288" t="s">
        <v>4228</v>
      </c>
      <c r="E1148" s="553" t="s">
        <v>6028</v>
      </c>
    </row>
    <row r="1149" spans="1:5" ht="96.6">
      <c r="A1149" s="295" t="str">
        <f t="shared" si="18"/>
        <v>Review the blood culture specimen collection instructions. Does it address the following items? (If specimen collection instructions do not exist or are not available to review, answer "No" to each.)</v>
      </c>
      <c r="B1149" s="26" t="s">
        <v>6718</v>
      </c>
      <c r="C1149" s="26" t="s">
        <v>6795</v>
      </c>
      <c r="D1149" s="288" t="s">
        <v>6853</v>
      </c>
      <c r="E1149" s="553" t="s">
        <v>6837</v>
      </c>
    </row>
    <row r="1150" spans="1:5" ht="27.6">
      <c r="A1150" s="295" t="str">
        <f t="shared" si="18"/>
        <v>Collect prior to administering antibiotics to patient</v>
      </c>
      <c r="B1150" s="26" t="s">
        <v>1592</v>
      </c>
      <c r="C1150" s="26" t="s">
        <v>4752</v>
      </c>
      <c r="D1150" s="288" t="s">
        <v>3110</v>
      </c>
      <c r="E1150" s="553" t="s">
        <v>6029</v>
      </c>
    </row>
    <row r="1151" spans="1:5" ht="27.6">
      <c r="A1151" s="295" t="str">
        <f t="shared" si="18"/>
        <v>Antiseptic skin preparation and aseptic collection technique</v>
      </c>
      <c r="B1151" s="26" t="s">
        <v>874</v>
      </c>
      <c r="C1151" s="26" t="s">
        <v>6030</v>
      </c>
      <c r="D1151" s="288" t="s">
        <v>3111</v>
      </c>
      <c r="E1151" s="553" t="s">
        <v>6031</v>
      </c>
    </row>
    <row r="1152" spans="1:5" ht="27.6">
      <c r="A1152" s="295" t="str">
        <f t="shared" si="18"/>
        <v>Antiseptic stopper preparation and aseptic inoculation of bottles</v>
      </c>
      <c r="B1152" s="26" t="s">
        <v>875</v>
      </c>
      <c r="C1152" s="26" t="s">
        <v>6032</v>
      </c>
      <c r="D1152" s="288" t="s">
        <v>4229</v>
      </c>
      <c r="E1152" s="553" t="s">
        <v>6033</v>
      </c>
    </row>
    <row r="1153" spans="1:5" ht="27.6">
      <c r="A1153" s="295" t="str">
        <f t="shared" si="18"/>
        <v>Minimum volume for adults (typically 10-15mL per bottle)</v>
      </c>
      <c r="B1153" s="26" t="s">
        <v>2077</v>
      </c>
      <c r="C1153" s="26" t="s">
        <v>6034</v>
      </c>
      <c r="D1153" s="288" t="s">
        <v>4230</v>
      </c>
      <c r="E1153" s="553" t="s">
        <v>6035</v>
      </c>
    </row>
    <row r="1154" spans="1:5" ht="27.6">
      <c r="A1154" s="295" t="str">
        <f t="shared" si="18"/>
        <v>Minimum volume for children (typically 5-10mL per bottle)</v>
      </c>
      <c r="B1154" s="26" t="s">
        <v>2078</v>
      </c>
      <c r="C1154" s="26" t="s">
        <v>6036</v>
      </c>
      <c r="D1154" s="288" t="s">
        <v>4231</v>
      </c>
      <c r="E1154" s="553" t="s">
        <v>6037</v>
      </c>
    </row>
    <row r="1155" spans="1:5" ht="27.6">
      <c r="A1155" s="295" t="str">
        <f t="shared" si="18"/>
        <v>Minimum volume for neonates (typically 0.5-1mL per bottle)</v>
      </c>
      <c r="B1155" s="26" t="s">
        <v>2079</v>
      </c>
      <c r="C1155" s="26" t="s">
        <v>6038</v>
      </c>
      <c r="D1155" s="288" t="s">
        <v>4232</v>
      </c>
      <c r="E1155" s="553" t="s">
        <v>6039</v>
      </c>
    </row>
    <row r="1156" spans="1:5" ht="41.4">
      <c r="A1156" s="295" t="str">
        <f t="shared" si="18"/>
        <v>Does laboratory policy require that two "sets" of blood cultures are drawn?</v>
      </c>
      <c r="B1156" s="26" t="s">
        <v>1590</v>
      </c>
      <c r="C1156" s="26" t="s">
        <v>6040</v>
      </c>
      <c r="D1156" s="170" t="s">
        <v>4233</v>
      </c>
      <c r="E1156" s="553" t="s">
        <v>6041</v>
      </c>
    </row>
    <row r="1157" spans="1:5" ht="41.4">
      <c r="A1157" s="295" t="str">
        <f t="shared" si="18"/>
        <v>Does the policy specify that each blood culture should be obtained from a different venipuncture site?</v>
      </c>
      <c r="B1157" s="26" t="s">
        <v>1591</v>
      </c>
      <c r="C1157" s="26" t="s">
        <v>2744</v>
      </c>
      <c r="D1157" s="170" t="s">
        <v>4234</v>
      </c>
      <c r="E1157" s="553" t="s">
        <v>6042</v>
      </c>
    </row>
    <row r="1158" spans="1:5" ht="41.4">
      <c r="A1158" s="295" t="str">
        <f t="shared" si="18"/>
        <v>Proper bottle labeling (patient name, ID, date, time, venipuncture site)</v>
      </c>
      <c r="B1158" s="26" t="s">
        <v>6983</v>
      </c>
      <c r="C1158" s="26" t="s">
        <v>6043</v>
      </c>
      <c r="D1158" s="288" t="s">
        <v>4235</v>
      </c>
      <c r="E1158" s="553" t="s">
        <v>6044</v>
      </c>
    </row>
    <row r="1159" spans="1:5" ht="41.4">
      <c r="A1159" s="295" t="str">
        <f t="shared" si="18"/>
        <v>Transport bottles to the lab within 1 hour of collection</v>
      </c>
      <c r="B1159" s="26" t="s">
        <v>876</v>
      </c>
      <c r="C1159" s="26" t="s">
        <v>6045</v>
      </c>
      <c r="D1159" s="170" t="s">
        <v>4236</v>
      </c>
      <c r="E1159" s="553" t="s">
        <v>6046</v>
      </c>
    </row>
    <row r="1160" spans="1:5" ht="69">
      <c r="A1160" s="295" t="str">
        <f t="shared" si="18"/>
        <v>If transport will be delayed, store bottles for automated systems at room temperature; store bottles for manual systems at 37°C.</v>
      </c>
      <c r="B1160" s="26" t="s">
        <v>2734</v>
      </c>
      <c r="C1160" s="26" t="s">
        <v>6047</v>
      </c>
      <c r="D1160" s="288" t="s">
        <v>4237</v>
      </c>
      <c r="E1160" s="553" t="s">
        <v>6048</v>
      </c>
    </row>
    <row r="1161" spans="1:5" ht="27.6">
      <c r="A1161" s="295" t="str">
        <f t="shared" si="18"/>
        <v>URINE SPECIMEN COLLECTION and TRANSPORT</v>
      </c>
      <c r="B1161" s="26" t="s">
        <v>894</v>
      </c>
      <c r="C1161" s="26" t="s">
        <v>2452</v>
      </c>
      <c r="D1161" s="288" t="s">
        <v>2934</v>
      </c>
      <c r="E1161" s="553" t="s">
        <v>6049</v>
      </c>
    </row>
    <row r="1162" spans="1:5" ht="55.2">
      <c r="A1162" s="295" t="str">
        <f t="shared" ref="A1162:A1226" si="19">IF(langue=1,B1162,IF(langue=2,C1162,IF(langue=3,D1162,IF(langue=4,E1162,F1162))))</f>
        <v>Does the lab provide urine culture specimen collection instructions/SOPs to patient sample collection areas?</v>
      </c>
      <c r="B1162" s="26" t="s">
        <v>877</v>
      </c>
      <c r="C1162" s="26" t="s">
        <v>6050</v>
      </c>
      <c r="D1162" s="288" t="s">
        <v>4238</v>
      </c>
      <c r="E1162" s="553" t="s">
        <v>6051</v>
      </c>
    </row>
    <row r="1163" spans="1:5" ht="55.2">
      <c r="A1163" s="295" t="str">
        <f t="shared" si="19"/>
        <v>Does the lab (or other department) provide annual refresher training to clinical staff on urine culture specimen collection?</v>
      </c>
      <c r="B1163" s="26" t="s">
        <v>880</v>
      </c>
      <c r="C1163" s="26" t="s">
        <v>6052</v>
      </c>
      <c r="D1163" s="288" t="s">
        <v>4239</v>
      </c>
      <c r="E1163" s="553" t="s">
        <v>6053</v>
      </c>
    </row>
    <row r="1164" spans="1:5" ht="55.2">
      <c r="A1164" s="295" t="str">
        <f t="shared" si="19"/>
        <v>Review the urine culture specimen collection instructions. Does it address the following items?</v>
      </c>
      <c r="B1164" s="26" t="s">
        <v>878</v>
      </c>
      <c r="C1164" s="26" t="s">
        <v>6054</v>
      </c>
      <c r="D1164" s="288" t="s">
        <v>4240</v>
      </c>
      <c r="E1164" s="553" t="s">
        <v>6055</v>
      </c>
    </row>
    <row r="1165" spans="1:5" ht="27.6">
      <c r="A1165" s="295" t="str">
        <f t="shared" si="19"/>
        <v>Antiseptic cleaning instructions for women, men and infants</v>
      </c>
      <c r="B1165" s="26" t="s">
        <v>881</v>
      </c>
      <c r="C1165" s="26" t="s">
        <v>6056</v>
      </c>
      <c r="D1165" s="288" t="s">
        <v>3112</v>
      </c>
      <c r="E1165" s="553" t="s">
        <v>6057</v>
      </c>
    </row>
    <row r="1166" spans="1:5" ht="27.6">
      <c r="A1166" s="295" t="str">
        <f t="shared" si="19"/>
        <v>Mid-stream or "clean catch" instructions</v>
      </c>
      <c r="B1166" s="26" t="s">
        <v>6984</v>
      </c>
      <c r="C1166" s="26" t="s">
        <v>6058</v>
      </c>
      <c r="D1166" s="288" t="s">
        <v>3113</v>
      </c>
      <c r="E1166" s="553" t="s">
        <v>6059</v>
      </c>
    </row>
    <row r="1167" spans="1:5" ht="27.6">
      <c r="A1167" s="295" t="str">
        <f t="shared" si="19"/>
        <v>Sterile containers only</v>
      </c>
      <c r="B1167" s="26" t="s">
        <v>879</v>
      </c>
      <c r="C1167" s="26" t="s">
        <v>6060</v>
      </c>
      <c r="D1167" s="288" t="s">
        <v>4241</v>
      </c>
      <c r="E1167" s="553" t="s">
        <v>6061</v>
      </c>
    </row>
    <row r="1168" spans="1:5">
      <c r="A1168" s="295" t="str">
        <f t="shared" si="19"/>
        <v>Minimum volume (typically 3mL)</v>
      </c>
      <c r="B1168" s="26" t="s">
        <v>882</v>
      </c>
      <c r="C1168" s="26" t="s">
        <v>2745</v>
      </c>
      <c r="D1168" s="288" t="s">
        <v>4242</v>
      </c>
      <c r="E1168" s="553" t="s">
        <v>6062</v>
      </c>
    </row>
    <row r="1169" spans="1:5" ht="27.6">
      <c r="A1169" s="295" t="str">
        <f t="shared" si="19"/>
        <v>Proper labeling instructions</v>
      </c>
      <c r="B1169" s="26" t="s">
        <v>883</v>
      </c>
      <c r="C1169" s="26" t="s">
        <v>6063</v>
      </c>
      <c r="D1169" s="288" t="s">
        <v>4243</v>
      </c>
      <c r="E1169" s="553" t="s">
        <v>6064</v>
      </c>
    </row>
    <row r="1170" spans="1:5" ht="41.4">
      <c r="A1170" s="295" t="str">
        <f t="shared" si="19"/>
        <v>Transport to lab at room temperature within 2 hours of collection</v>
      </c>
      <c r="B1170" s="26" t="s">
        <v>2085</v>
      </c>
      <c r="C1170" s="26" t="s">
        <v>6065</v>
      </c>
      <c r="D1170" s="170" t="s">
        <v>4244</v>
      </c>
      <c r="E1170" s="553" t="s">
        <v>6066</v>
      </c>
    </row>
    <row r="1171" spans="1:5" ht="27.6">
      <c r="A1171" s="295" t="str">
        <f t="shared" si="19"/>
        <v>If transport will be delayed, store refrigerated for up to 24 hours</v>
      </c>
      <c r="B1171" s="26" t="s">
        <v>2086</v>
      </c>
      <c r="C1171" s="26" t="s">
        <v>4753</v>
      </c>
      <c r="D1171" s="170" t="s">
        <v>4245</v>
      </c>
      <c r="E1171" s="553" t="s">
        <v>6067</v>
      </c>
    </row>
    <row r="1172" spans="1:5" ht="27.6">
      <c r="A1172" s="295" t="str">
        <f t="shared" si="19"/>
        <v>STOOL SPECIMEN COLLECTION and TRANSPORT</v>
      </c>
      <c r="B1172" s="26" t="s">
        <v>895</v>
      </c>
      <c r="C1172" s="26" t="s">
        <v>4754</v>
      </c>
      <c r="D1172" s="288" t="s">
        <v>3735</v>
      </c>
      <c r="E1172" s="553" t="s">
        <v>6068</v>
      </c>
    </row>
    <row r="1173" spans="1:5" ht="55.2">
      <c r="A1173" s="295" t="str">
        <f t="shared" si="19"/>
        <v>Does the lab provide stool culture specimen collection instructions/SOPs to patient sample collection areas?</v>
      </c>
      <c r="B1173" s="26" t="s">
        <v>884</v>
      </c>
      <c r="C1173" s="26" t="s">
        <v>6069</v>
      </c>
      <c r="D1173" s="288" t="s">
        <v>4246</v>
      </c>
      <c r="E1173" s="553" t="s">
        <v>6070</v>
      </c>
    </row>
    <row r="1174" spans="1:5" ht="55.2">
      <c r="A1174" s="295" t="str">
        <f t="shared" si="19"/>
        <v>Does the lab (or other department) provide annual refresher training to clinical staff on stool culture specimen collection?</v>
      </c>
      <c r="B1174" s="26" t="s">
        <v>885</v>
      </c>
      <c r="C1174" s="26" t="s">
        <v>6071</v>
      </c>
      <c r="D1174" s="288" t="s">
        <v>4247</v>
      </c>
      <c r="E1174" s="553" t="s">
        <v>6072</v>
      </c>
    </row>
    <row r="1175" spans="1:5" ht="55.2">
      <c r="A1175" s="295" t="str">
        <f t="shared" si="19"/>
        <v>Review the stool culture specimen collection instructions. Does it address the following items?</v>
      </c>
      <c r="B1175" s="26" t="s">
        <v>886</v>
      </c>
      <c r="C1175" s="26" t="s">
        <v>6073</v>
      </c>
      <c r="D1175" s="288" t="s">
        <v>4248</v>
      </c>
      <c r="E1175" s="553" t="s">
        <v>6074</v>
      </c>
    </row>
    <row r="1176" spans="1:5">
      <c r="A1176" s="295" t="str">
        <f t="shared" si="19"/>
        <v>Collection technique</v>
      </c>
      <c r="B1176" s="26" t="s">
        <v>30</v>
      </c>
      <c r="C1176" s="26" t="s">
        <v>6075</v>
      </c>
      <c r="D1176" s="288" t="s">
        <v>3114</v>
      </c>
      <c r="E1176" s="553" t="s">
        <v>6076</v>
      </c>
    </row>
    <row r="1177" spans="1:5">
      <c r="A1177" s="295" t="str">
        <f t="shared" si="19"/>
        <v>Approved containers</v>
      </c>
      <c r="B1177" s="26" t="s">
        <v>31</v>
      </c>
      <c r="C1177" s="26" t="s">
        <v>6077</v>
      </c>
      <c r="D1177" s="288" t="s">
        <v>4249</v>
      </c>
      <c r="E1177" s="553" t="s">
        <v>6078</v>
      </c>
    </row>
    <row r="1178" spans="1:5">
      <c r="A1178" s="295" t="str">
        <f t="shared" si="19"/>
        <v>Min/Max volume</v>
      </c>
      <c r="B1178" s="26" t="s">
        <v>32</v>
      </c>
      <c r="C1178" s="26" t="s">
        <v>2746</v>
      </c>
      <c r="D1178" s="288" t="s">
        <v>3115</v>
      </c>
      <c r="E1178" s="553" t="s">
        <v>2746</v>
      </c>
    </row>
    <row r="1179" spans="1:5">
      <c r="A1179" s="295" t="str">
        <f t="shared" si="19"/>
        <v>Proper labeling</v>
      </c>
      <c r="B1179" s="26" t="s">
        <v>33</v>
      </c>
      <c r="C1179" s="26" t="s">
        <v>2747</v>
      </c>
      <c r="D1179" s="288" t="s">
        <v>3116</v>
      </c>
      <c r="E1179" s="553" t="s">
        <v>6079</v>
      </c>
    </row>
    <row r="1180" spans="1:5" ht="41.4">
      <c r="A1180" s="295" t="str">
        <f t="shared" si="19"/>
        <v>Transport to the lab at room temperature within 2 hours</v>
      </c>
      <c r="B1180" s="26" t="s">
        <v>887</v>
      </c>
      <c r="C1180" s="26" t="s">
        <v>6065</v>
      </c>
      <c r="D1180" s="288" t="s">
        <v>4250</v>
      </c>
      <c r="E1180" s="553" t="s">
        <v>6080</v>
      </c>
    </row>
    <row r="1181" spans="1:5" ht="55.2">
      <c r="A1181" s="295" t="str">
        <f t="shared" si="19"/>
        <v>If transport will be delayed, place specimen in an approved transport medium (such as Cary-Blair) for up to 24 hours</v>
      </c>
      <c r="B1181" s="26" t="s">
        <v>888</v>
      </c>
      <c r="C1181" s="26" t="s">
        <v>2748</v>
      </c>
      <c r="D1181" s="288" t="s">
        <v>4251</v>
      </c>
      <c r="E1181" s="553" t="s">
        <v>6081</v>
      </c>
    </row>
    <row r="1182" spans="1:5" ht="69">
      <c r="A1182" s="295" t="str">
        <f t="shared" si="19"/>
        <v>If transport will be delayed, do not refrigerate stool since some pathogens, especially Shigella spp, will die at low temperatures</v>
      </c>
      <c r="B1182" s="26" t="s">
        <v>2735</v>
      </c>
      <c r="C1182" s="26" t="s">
        <v>6082</v>
      </c>
      <c r="D1182" s="288" t="s">
        <v>4252</v>
      </c>
      <c r="E1182" s="553" t="s">
        <v>6083</v>
      </c>
    </row>
    <row r="1183" spans="1:5">
      <c r="A1183" s="295" t="str">
        <f t="shared" si="19"/>
        <v>9- PROCESSING</v>
      </c>
      <c r="B1183" s="26" t="s">
        <v>920</v>
      </c>
      <c r="C1183" s="26" t="s">
        <v>2453</v>
      </c>
      <c r="D1183" s="288" t="s">
        <v>2935</v>
      </c>
      <c r="E1183" s="553" t="s">
        <v>5083</v>
      </c>
    </row>
    <row r="1184" spans="1:5" ht="55.2">
      <c r="A1184" s="295" t="str">
        <f t="shared" si="19"/>
        <v>Please note: all questions refer only to clinical patient specimens, NOT to research or environmental specimens</v>
      </c>
      <c r="B1184" s="26" t="s">
        <v>2089</v>
      </c>
      <c r="C1184" s="26" t="s">
        <v>6084</v>
      </c>
      <c r="D1184" s="288" t="s">
        <v>4215</v>
      </c>
      <c r="E1184" s="553" t="s">
        <v>6838</v>
      </c>
    </row>
    <row r="1185" spans="1:5">
      <c r="A1185" s="295" t="str">
        <f t="shared" si="19"/>
        <v>BLOOD CULTURE PROCESSING</v>
      </c>
      <c r="B1185" s="26" t="s">
        <v>757</v>
      </c>
      <c r="C1185" s="26" t="s">
        <v>4565</v>
      </c>
      <c r="D1185" s="288" t="s">
        <v>4253</v>
      </c>
      <c r="E1185" s="553" t="s">
        <v>5084</v>
      </c>
    </row>
    <row r="1186" spans="1:5" ht="27.6">
      <c r="A1186" s="295" t="str">
        <f t="shared" si="19"/>
        <v>Does the laboratory perform blood cultures?</v>
      </c>
      <c r="B1186" s="26" t="s">
        <v>6723</v>
      </c>
      <c r="C1186" s="398" t="s">
        <v>6749</v>
      </c>
      <c r="D1186" s="398" t="s">
        <v>6750</v>
      </c>
      <c r="E1186" s="558" t="s">
        <v>6751</v>
      </c>
    </row>
    <row r="1187" spans="1:5" ht="55.2">
      <c r="A1187" s="295" t="str">
        <f t="shared" si="19"/>
        <v>Does the laboratory have an SOP describing how to process blood for bacterial culture?</v>
      </c>
      <c r="B1187" s="26" t="s">
        <v>121</v>
      </c>
      <c r="C1187" s="360" t="s">
        <v>6085</v>
      </c>
      <c r="D1187" s="288" t="s">
        <v>3117</v>
      </c>
      <c r="E1187" s="553" t="s">
        <v>6086</v>
      </c>
    </row>
    <row r="1188" spans="1:5" ht="69">
      <c r="A1188" s="295" t="str">
        <f t="shared" si="19"/>
        <v>When a blood culture bottle shows signs of positivity, (turbidity, hemolysis, or gas production), does the lab perform a Gram stain of the bottle broth?</v>
      </c>
      <c r="B1188" s="26" t="s">
        <v>251</v>
      </c>
      <c r="C1188" s="26" t="s">
        <v>6087</v>
      </c>
      <c r="D1188" s="288" t="s">
        <v>4254</v>
      </c>
      <c r="E1188" s="553" t="s">
        <v>6088</v>
      </c>
    </row>
    <row r="1189" spans="1:5" ht="41.4">
      <c r="A1189" s="295" t="str">
        <f t="shared" si="19"/>
        <v>If the Gram stain from the bottle is positive, does the lab call the result to the physician immediately?</v>
      </c>
      <c r="B1189" s="26" t="s">
        <v>122</v>
      </c>
      <c r="C1189" s="26" t="s">
        <v>6089</v>
      </c>
      <c r="D1189" s="288" t="s">
        <v>4255</v>
      </c>
      <c r="E1189" s="553" t="s">
        <v>6090</v>
      </c>
    </row>
    <row r="1190" spans="1:5" ht="69">
      <c r="A1190" s="295" t="str">
        <f t="shared" si="19"/>
        <v xml:space="preserve">When a positive blood culture broth is subcultured, is a chocolate plate included to ensure recovery of fastidious organisms? </v>
      </c>
      <c r="B1190" s="26" t="s">
        <v>123</v>
      </c>
      <c r="C1190" s="26" t="s">
        <v>6091</v>
      </c>
      <c r="D1190" s="170" t="s">
        <v>4256</v>
      </c>
      <c r="E1190" s="553" t="s">
        <v>6092</v>
      </c>
    </row>
    <row r="1191" spans="1:5" ht="41.4">
      <c r="A1191" s="295" t="str">
        <f t="shared" si="19"/>
        <v>Does the lab inoculate more than one patient sample on the same petri dish?</v>
      </c>
      <c r="B1191" s="26" t="s">
        <v>1595</v>
      </c>
      <c r="C1191" s="26" t="s">
        <v>6093</v>
      </c>
      <c r="D1191" s="288" t="s">
        <v>4257</v>
      </c>
      <c r="E1191" s="553" t="s">
        <v>6094</v>
      </c>
    </row>
    <row r="1192" spans="1:5" ht="55.2">
      <c r="A1192" s="295" t="str">
        <f t="shared" si="19"/>
        <v xml:space="preserve">Does the SOP for blood cultures appropriately define which organisms are commonly considered contaminants? </v>
      </c>
      <c r="B1192" s="26" t="s">
        <v>340</v>
      </c>
      <c r="C1192" s="26" t="s">
        <v>6095</v>
      </c>
      <c r="D1192" s="288" t="s">
        <v>4258</v>
      </c>
      <c r="E1192" s="553" t="s">
        <v>6096</v>
      </c>
    </row>
    <row r="1193" spans="1:5" ht="69">
      <c r="A1193" s="295" t="str">
        <f t="shared" si="19"/>
        <v>E.g.,  Corynebacterium spp., Propionibacterium spp., Micrococcus spp., viridans Strep spp., Bacillus spp., and coagulase-negative Staph spp. isolated from only one culture</v>
      </c>
      <c r="B1193" s="26" t="s">
        <v>341</v>
      </c>
      <c r="C1193" s="26" t="s">
        <v>6097</v>
      </c>
      <c r="D1193" s="288" t="s">
        <v>4259</v>
      </c>
      <c r="E1193" s="553" t="s">
        <v>6098</v>
      </c>
    </row>
    <row r="1194" spans="1:5" ht="41.4">
      <c r="A1194" s="295" t="str">
        <f t="shared" si="19"/>
        <v>Does the lab perform AST on organisms that are possible contaminants?</v>
      </c>
      <c r="B1194" s="26" t="s">
        <v>124</v>
      </c>
      <c r="C1194" s="26" t="s">
        <v>6099</v>
      </c>
      <c r="D1194" s="288" t="s">
        <v>4260</v>
      </c>
      <c r="E1194" s="553" t="s">
        <v>6100</v>
      </c>
    </row>
    <row r="1195" spans="1:5" ht="27.6">
      <c r="A1195" s="295" t="str">
        <f t="shared" si="19"/>
        <v>Which blood culture incubation systems does the lab use?</v>
      </c>
      <c r="B1195" s="26" t="s">
        <v>752</v>
      </c>
      <c r="C1195" s="26" t="s">
        <v>2753</v>
      </c>
      <c r="D1195" s="288" t="s">
        <v>3118</v>
      </c>
      <c r="E1195" s="553" t="s">
        <v>6101</v>
      </c>
    </row>
    <row r="1196" spans="1:5" ht="41.4">
      <c r="A1196" s="295" t="str">
        <f t="shared" si="19"/>
        <v>1: Automated only; 2: Manual System only; 3: Both automated and manual systems</v>
      </c>
      <c r="B1196" s="26" t="s">
        <v>753</v>
      </c>
      <c r="C1196" s="26" t="s">
        <v>2754</v>
      </c>
      <c r="D1196" s="288" t="s">
        <v>4261</v>
      </c>
      <c r="E1196" s="553" t="s">
        <v>6102</v>
      </c>
    </row>
    <row r="1197" spans="1:5">
      <c r="A1197" s="295" t="str">
        <f t="shared" si="19"/>
        <v>MANUAL BLOOD CULTURE SYSTEMS</v>
      </c>
      <c r="B1197" s="26" t="s">
        <v>756</v>
      </c>
      <c r="C1197" s="26" t="s">
        <v>6103</v>
      </c>
      <c r="D1197" s="288" t="s">
        <v>3737</v>
      </c>
      <c r="E1197" s="553" t="s">
        <v>5085</v>
      </c>
    </row>
    <row r="1198" spans="1:5" ht="69">
      <c r="A1198" s="295" t="str">
        <f t="shared" si="19"/>
        <v>Review the SOP for manual incubation of blood culture bottles. Does it include each of the following instructions? (If only automated systems are used, answer NA)</v>
      </c>
      <c r="B1198" s="26" t="s">
        <v>2749</v>
      </c>
      <c r="C1198" s="26" t="s">
        <v>6104</v>
      </c>
      <c r="D1198" s="288" t="s">
        <v>4262</v>
      </c>
      <c r="E1198" s="553" t="s">
        <v>6105</v>
      </c>
    </row>
    <row r="1199" spans="1:5" ht="55.2">
      <c r="A1199" s="295" t="str">
        <f t="shared" si="19"/>
        <v>On each day of incubation, visually examine all bottles for signs of positivity (turbidity, hemolysis, gas production)</v>
      </c>
      <c r="B1199" s="26" t="s">
        <v>741</v>
      </c>
      <c r="C1199" s="26" t="s">
        <v>2755</v>
      </c>
      <c r="D1199" s="288" t="s">
        <v>4263</v>
      </c>
      <c r="E1199" s="553" t="s">
        <v>6106</v>
      </c>
    </row>
    <row r="1200" spans="1:5" ht="41.4">
      <c r="A1200" s="295" t="str">
        <f t="shared" si="19"/>
        <v xml:space="preserve">After 24 hours of incubation, subculture all bottles that appear negative  </v>
      </c>
      <c r="B1200" s="26" t="s">
        <v>252</v>
      </c>
      <c r="C1200" s="26" t="s">
        <v>6107</v>
      </c>
      <c r="D1200" s="288" t="s">
        <v>4264</v>
      </c>
      <c r="E1200" s="553" t="s">
        <v>6108</v>
      </c>
    </row>
    <row r="1201" spans="1:5" ht="69">
      <c r="A1201" s="295" t="str">
        <f t="shared" si="19"/>
        <v>After 48 hours of incubation, subculture all bottles that appear negative again (if the first subculture was negative)</v>
      </c>
      <c r="B1201" s="26" t="s">
        <v>253</v>
      </c>
      <c r="C1201" s="26" t="s">
        <v>6109</v>
      </c>
      <c r="D1201" s="288" t="s">
        <v>4265</v>
      </c>
      <c r="E1201" s="553" t="s">
        <v>6110</v>
      </c>
    </row>
    <row r="1202" spans="1:5" ht="69">
      <c r="A1202" s="295" t="str">
        <f t="shared" si="19"/>
        <v>Subculture bottles that appear negative to a chocolate agar plate (incubated in 5% CO2) to ensure recovery of fastidious organisms</v>
      </c>
      <c r="B1202" s="26" t="s">
        <v>754</v>
      </c>
      <c r="C1202" s="26" t="s">
        <v>6111</v>
      </c>
      <c r="D1202" s="170" t="s">
        <v>4266</v>
      </c>
      <c r="E1202" s="553" t="s">
        <v>6112</v>
      </c>
    </row>
    <row r="1203" spans="1:5" ht="41.4">
      <c r="A1203" s="295" t="str">
        <f t="shared" si="19"/>
        <v>Incubate all bottles between 5 and 7 days before issuing a final negative report</v>
      </c>
      <c r="B1203" s="26" t="s">
        <v>755</v>
      </c>
      <c r="C1203" s="26" t="s">
        <v>6113</v>
      </c>
      <c r="D1203" s="288" t="s">
        <v>4267</v>
      </c>
      <c r="E1203" s="553" t="s">
        <v>6114</v>
      </c>
    </row>
    <row r="1204" spans="1:5" ht="55.2">
      <c r="A1204" s="295" t="str">
        <f t="shared" si="19"/>
        <v>On the final day of incubation, perform a terminal subculture before the final negative report is issued</v>
      </c>
      <c r="B1204" s="26" t="s">
        <v>254</v>
      </c>
      <c r="C1204" s="26" t="s">
        <v>6115</v>
      </c>
      <c r="D1204" s="288" t="s">
        <v>4268</v>
      </c>
      <c r="E1204" s="553" t="s">
        <v>6116</v>
      </c>
    </row>
    <row r="1205" spans="1:5">
      <c r="A1205" s="295" t="str">
        <f t="shared" si="19"/>
        <v>URINE CULTURE</v>
      </c>
      <c r="B1205" s="26" t="s">
        <v>48</v>
      </c>
      <c r="C1205" s="26" t="s">
        <v>6754</v>
      </c>
      <c r="D1205" s="288" t="s">
        <v>3738</v>
      </c>
      <c r="E1205" s="553" t="s">
        <v>5087</v>
      </c>
    </row>
    <row r="1206" spans="1:5" ht="27.6">
      <c r="A1206" s="295" t="str">
        <f t="shared" si="19"/>
        <v>Does the laboratory perform urine cultures?</v>
      </c>
      <c r="B1206" s="26" t="s">
        <v>6724</v>
      </c>
      <c r="C1206" s="398" t="s">
        <v>6755</v>
      </c>
      <c r="D1206" s="398" t="s">
        <v>6752</v>
      </c>
      <c r="E1206" s="558" t="s">
        <v>6753</v>
      </c>
    </row>
    <row r="1207" spans="1:5" ht="41.4">
      <c r="A1207" s="295" t="str">
        <f t="shared" si="19"/>
        <v>Does the laboratory have an SOP for how to process urine for bacterial culture? (request to see)</v>
      </c>
      <c r="B1207" s="26" t="s">
        <v>49</v>
      </c>
      <c r="C1207" s="26" t="s">
        <v>6756</v>
      </c>
      <c r="D1207" s="288" t="s">
        <v>4269</v>
      </c>
      <c r="E1207" s="553" t="s">
        <v>6117</v>
      </c>
    </row>
    <row r="1208" spans="1:5" ht="41.4">
      <c r="A1208" s="295" t="str">
        <f t="shared" si="19"/>
        <v>According to the SOP, which media are used for primary culture of urine?</v>
      </c>
      <c r="B1208" s="26" t="s">
        <v>321</v>
      </c>
      <c r="C1208" s="26" t="s">
        <v>6118</v>
      </c>
      <c r="D1208" s="288" t="s">
        <v>4270</v>
      </c>
      <c r="E1208" s="553" t="s">
        <v>6839</v>
      </c>
    </row>
    <row r="1209" spans="1:5" ht="41.4">
      <c r="A1209" s="295" t="str">
        <f t="shared" si="19"/>
        <v>1. Both blood agar and a selective gram-negative agar (e.g., MacConkey, EMB, CLED)</v>
      </c>
      <c r="B1209" s="26" t="s">
        <v>6985</v>
      </c>
      <c r="C1209" s="26" t="s">
        <v>6119</v>
      </c>
      <c r="D1209" s="288" t="s">
        <v>4271</v>
      </c>
      <c r="E1209" s="553" t="s">
        <v>6120</v>
      </c>
    </row>
    <row r="1210" spans="1:5" ht="27.6">
      <c r="A1210" s="295" t="str">
        <f t="shared" si="19"/>
        <v>2. Chromogenic agar designed for urine specimens</v>
      </c>
      <c r="B1210" s="26" t="s">
        <v>268</v>
      </c>
      <c r="C1210" s="26" t="s">
        <v>6121</v>
      </c>
      <c r="D1210" s="288" t="s">
        <v>3119</v>
      </c>
      <c r="E1210" s="553" t="s">
        <v>6122</v>
      </c>
    </row>
    <row r="1211" spans="1:5">
      <c r="A1211" s="295" t="str">
        <f t="shared" si="19"/>
        <v>3. Blood agar only</v>
      </c>
      <c r="B1211" s="26" t="s">
        <v>1637</v>
      </c>
      <c r="C1211" s="26" t="s">
        <v>6123</v>
      </c>
      <c r="D1211" s="288" t="s">
        <v>3120</v>
      </c>
      <c r="E1211" s="553" t="s">
        <v>6124</v>
      </c>
    </row>
    <row r="1212" spans="1:5">
      <c r="A1212" s="295" t="str">
        <f t="shared" si="19"/>
        <v>4. Other, describe</v>
      </c>
      <c r="B1212" s="26" t="s">
        <v>270</v>
      </c>
      <c r="C1212" s="26" t="s">
        <v>2756</v>
      </c>
      <c r="D1212" s="288" t="s">
        <v>3121</v>
      </c>
      <c r="E1212" s="553" t="s">
        <v>6125</v>
      </c>
    </row>
    <row r="1213" spans="1:5" ht="96.6">
      <c r="A1213" s="295" t="str">
        <f t="shared" si="19"/>
        <v>Standard: CAP MIC.22210; SANAS TR 34-04:3.2.1.2 Media and procedures must be used to ensure isolation and identification of common uropathogens such as Enterobacteriaceae, Enterococcus sp., and Staphylococcus sp.</v>
      </c>
      <c r="B1213" s="26" t="s">
        <v>742</v>
      </c>
      <c r="C1213" s="26" t="s">
        <v>2757</v>
      </c>
      <c r="D1213" s="288" t="s">
        <v>4272</v>
      </c>
      <c r="E1213" s="553" t="s">
        <v>6126</v>
      </c>
    </row>
    <row r="1214" spans="1:5" ht="27.6">
      <c r="A1214" s="295" t="str">
        <f t="shared" si="19"/>
        <v xml:space="preserve">Are quantitative cultures (colony counts) performed? </v>
      </c>
      <c r="B1214" s="26" t="s">
        <v>51</v>
      </c>
      <c r="C1214" s="26" t="s">
        <v>4755</v>
      </c>
      <c r="D1214" s="288" t="s">
        <v>3122</v>
      </c>
      <c r="E1214" s="553" t="s">
        <v>6127</v>
      </c>
    </row>
    <row r="1215" spans="1:5" ht="82.8">
      <c r="A1215" s="295" t="str">
        <f t="shared" si="19"/>
        <v>Standard: CAP MIC.22200; SANAS TR 34-04: 3.2.1.2 The minimal standards for evaluation of urine cultures should include an estimate of number of organisms, i.e., quantitative culture expressed as CFU/mL.</v>
      </c>
      <c r="B1215" s="26" t="s">
        <v>6986</v>
      </c>
      <c r="C1215" s="26" t="s">
        <v>6987</v>
      </c>
      <c r="D1215" s="288" t="s">
        <v>6988</v>
      </c>
      <c r="E1215" s="553" t="s">
        <v>6989</v>
      </c>
    </row>
    <row r="1216" spans="1:5" ht="27.6">
      <c r="A1216" s="295" t="str">
        <f t="shared" si="19"/>
        <v>Are urines plated using a calibrated loop?</v>
      </c>
      <c r="B1216" s="26" t="s">
        <v>125</v>
      </c>
      <c r="C1216" s="26" t="s">
        <v>6128</v>
      </c>
      <c r="D1216" s="288" t="s">
        <v>4273</v>
      </c>
      <c r="E1216" s="553" t="s">
        <v>6129</v>
      </c>
    </row>
    <row r="1217" spans="1:5" ht="41.4">
      <c r="A1217" s="295" t="str">
        <f t="shared" si="19"/>
        <v>1: Yes, 1µL  – 2: Yes, 10uL - 3: No, calibrated loops are not used to plate urines</v>
      </c>
      <c r="B1217" s="26" t="s">
        <v>126</v>
      </c>
      <c r="C1217" s="26" t="s">
        <v>6130</v>
      </c>
      <c r="D1217" s="288" t="s">
        <v>4274</v>
      </c>
      <c r="E1217" s="553" t="s">
        <v>6131</v>
      </c>
    </row>
    <row r="1218" spans="1:5" ht="41.4">
      <c r="A1218" s="295" t="str">
        <f t="shared" si="19"/>
        <v>Does the lab inoculate more than one patient sample on the same petri dish?</v>
      </c>
      <c r="B1218" s="26" t="s">
        <v>1595</v>
      </c>
      <c r="C1218" s="26" t="s">
        <v>2752</v>
      </c>
      <c r="D1218" s="288" t="s">
        <v>4275</v>
      </c>
      <c r="E1218" s="553" t="s">
        <v>6132</v>
      </c>
    </row>
    <row r="1219" spans="1:5" ht="96.6">
      <c r="A1219" s="295" t="str">
        <f t="shared" si="19"/>
        <v xml:space="preserve">Does the urine culture SOP provide guidance to the technologist in determining which organisms to “work up” (ID and AST) based on relative quantities, pathogenicity, and method of specimen collection? </v>
      </c>
      <c r="B1219" s="26" t="s">
        <v>743</v>
      </c>
      <c r="C1219" s="26" t="s">
        <v>6133</v>
      </c>
      <c r="D1219" s="288" t="s">
        <v>4276</v>
      </c>
      <c r="E1219" s="553" t="s">
        <v>6134</v>
      </c>
    </row>
    <row r="1220" spans="1:5" ht="82.8">
      <c r="A1220" s="295" t="str">
        <f t="shared" si="19"/>
        <v xml:space="preserve">Have technologists been adequately trained to recognize a poorly collected urine specimen (predominance of fecal or skin flora) based on the relative quantities, types, and mix of organisms present? </v>
      </c>
      <c r="B1220" s="26" t="s">
        <v>2350</v>
      </c>
      <c r="C1220" s="26" t="s">
        <v>4756</v>
      </c>
      <c r="D1220" s="288" t="s">
        <v>4277</v>
      </c>
      <c r="E1220" s="553" t="s">
        <v>6135</v>
      </c>
    </row>
    <row r="1221" spans="1:5" ht="27.6">
      <c r="A1221" s="295" t="str">
        <f t="shared" si="19"/>
        <v>1: Yes - 2: Some, but would like additional training - 3: No</v>
      </c>
      <c r="B1221" s="26" t="s">
        <v>293</v>
      </c>
      <c r="C1221" s="26" t="s">
        <v>2659</v>
      </c>
      <c r="D1221" s="288" t="s">
        <v>4096</v>
      </c>
      <c r="E1221" s="553" t="s">
        <v>5786</v>
      </c>
    </row>
    <row r="1222" spans="1:5" ht="27.6">
      <c r="A1222" s="295" t="str">
        <f t="shared" si="19"/>
        <v>STOOL CULTURES for Salmonella and Shigella</v>
      </c>
      <c r="B1222" s="26" t="s">
        <v>2750</v>
      </c>
      <c r="C1222" s="26" t="s">
        <v>4757</v>
      </c>
      <c r="D1222" s="288" t="s">
        <v>3739</v>
      </c>
      <c r="E1222" s="553" t="s">
        <v>5089</v>
      </c>
    </row>
    <row r="1223" spans="1:5" ht="27.6">
      <c r="A1223" s="295" t="str">
        <f t="shared" si="19"/>
        <v>Does the laboratory perform stool cultures?</v>
      </c>
      <c r="B1223" s="26" t="s">
        <v>6725</v>
      </c>
      <c r="C1223" s="26" t="s">
        <v>6757</v>
      </c>
      <c r="D1223" s="288" t="s">
        <v>6758</v>
      </c>
      <c r="E1223" s="553" t="s">
        <v>6759</v>
      </c>
    </row>
    <row r="1224" spans="1:5" ht="55.2">
      <c r="A1224" s="295" t="str">
        <f t="shared" si="19"/>
        <v>Does the laboratory have an SOP for how to process (plate) stool for bacterial culture? (request to see)</v>
      </c>
      <c r="B1224" s="26" t="s">
        <v>1638</v>
      </c>
      <c r="C1224" s="26" t="s">
        <v>6136</v>
      </c>
      <c r="D1224" s="288" t="s">
        <v>4278</v>
      </c>
      <c r="E1224" s="553" t="s">
        <v>6137</v>
      </c>
    </row>
    <row r="1225" spans="1:5" ht="41.4">
      <c r="A1225" s="295" t="str">
        <f t="shared" si="19"/>
        <v>Does the SOP describe how to identify potential pathogens on all primary media?</v>
      </c>
      <c r="B1225" s="26" t="s">
        <v>342</v>
      </c>
      <c r="C1225" s="26" t="s">
        <v>7169</v>
      </c>
      <c r="D1225" s="288" t="s">
        <v>4279</v>
      </c>
      <c r="E1225" s="553" t="s">
        <v>6138</v>
      </c>
    </row>
    <row r="1226" spans="1:5" ht="82.8">
      <c r="A1226" s="295" t="str">
        <f t="shared" si="19"/>
        <v>The SOP should describe the colony appearance of potential pathogens on MAC other selective &amp; differential media used, and should define how to proceed when a potential pathogen is encountered</v>
      </c>
      <c r="B1226" s="26" t="s">
        <v>1594</v>
      </c>
      <c r="C1226" s="26" t="s">
        <v>7170</v>
      </c>
      <c r="D1226" s="288" t="s">
        <v>4280</v>
      </c>
      <c r="E1226" s="553" t="s">
        <v>6139</v>
      </c>
    </row>
    <row r="1227" spans="1:5" ht="27.6">
      <c r="A1227" s="295" t="str">
        <f t="shared" ref="A1227:A1266" si="20">IF(langue=1,B1227,IF(langue=2,C1227,IF(langue=3,D1227,IF(langue=4,E1227,F1227))))</f>
        <v>Which media are used for primary culture of stool?</v>
      </c>
      <c r="B1227" s="26" t="s">
        <v>52</v>
      </c>
      <c r="C1227" s="26" t="s">
        <v>6140</v>
      </c>
      <c r="D1227" s="288" t="s">
        <v>4281</v>
      </c>
      <c r="E1227" s="553" t="s">
        <v>6141</v>
      </c>
    </row>
    <row r="1228" spans="1:5">
      <c r="A1228" s="295" t="str">
        <f t="shared" si="20"/>
        <v>Blood agar</v>
      </c>
      <c r="B1228" s="26" t="s">
        <v>50</v>
      </c>
      <c r="C1228" s="26" t="s">
        <v>2758</v>
      </c>
      <c r="D1228" s="288" t="s">
        <v>3123</v>
      </c>
      <c r="E1228" s="553" t="s">
        <v>6142</v>
      </c>
    </row>
    <row r="1229" spans="1:5" ht="27.6">
      <c r="A1229" s="295" t="str">
        <f t="shared" si="20"/>
        <v>MacConkey or Eosin Methylene Blue agar</v>
      </c>
      <c r="B1229" s="26" t="s">
        <v>53</v>
      </c>
      <c r="C1229" s="26" t="s">
        <v>2759</v>
      </c>
      <c r="D1229" s="288" t="s">
        <v>4282</v>
      </c>
      <c r="E1229" s="553" t="s">
        <v>6143</v>
      </c>
    </row>
    <row r="1230" spans="1:5" ht="82.8">
      <c r="A1230" s="295" t="str">
        <f t="shared" si="20"/>
        <v>Selective and differential screening agar for Salmonella and Shigella (e.g., Salmonella/Shigella agar, Hektoen Enteric agar, Xylose Lysine Deoxycholate agar, or Deoxycholate Citrate Agar)</v>
      </c>
      <c r="B1230" s="26" t="s">
        <v>54</v>
      </c>
      <c r="C1230" s="26" t="s">
        <v>4758</v>
      </c>
      <c r="D1230" s="288" t="s">
        <v>4283</v>
      </c>
      <c r="E1230" s="553" t="s">
        <v>6144</v>
      </c>
    </row>
    <row r="1231" spans="1:5" ht="27.6">
      <c r="A1231" s="295" t="str">
        <f t="shared" si="20"/>
        <v>Selective enrichment broth (e.g., Selenite, GN, etc.)</v>
      </c>
      <c r="B1231" s="26" t="s">
        <v>744</v>
      </c>
      <c r="C1231" s="26" t="s">
        <v>2760</v>
      </c>
      <c r="D1231" s="288" t="s">
        <v>4284</v>
      </c>
      <c r="E1231" s="553" t="s">
        <v>6145</v>
      </c>
    </row>
    <row r="1232" spans="1:5" ht="27.6">
      <c r="A1232" s="295" t="str">
        <f t="shared" si="20"/>
        <v>Other (describe in comments, not scored)</v>
      </c>
      <c r="B1232" s="26" t="s">
        <v>745</v>
      </c>
      <c r="C1232" s="26" t="s">
        <v>2761</v>
      </c>
      <c r="D1232" s="288" t="s">
        <v>4285</v>
      </c>
      <c r="E1232" s="553" t="s">
        <v>6146</v>
      </c>
    </row>
    <row r="1233" spans="1:5" ht="41.4">
      <c r="A1233" s="295" t="str">
        <f t="shared" si="20"/>
        <v>Does the lab inoculate more than one patient sample on the same petri dish?</v>
      </c>
      <c r="B1233" s="26" t="s">
        <v>1595</v>
      </c>
      <c r="C1233" s="26" t="s">
        <v>2752</v>
      </c>
      <c r="D1233" s="288" t="s">
        <v>4275</v>
      </c>
      <c r="E1233" s="553" t="s">
        <v>6094</v>
      </c>
    </row>
    <row r="1234" spans="1:5" ht="41.4">
      <c r="A1234" s="295" t="str">
        <f t="shared" si="20"/>
        <v xml:space="preserve">Are the following pathogens routinely targeted in every stool culture submitted? </v>
      </c>
      <c r="B1234" s="26" t="s">
        <v>127</v>
      </c>
      <c r="C1234" s="26" t="s">
        <v>6147</v>
      </c>
      <c r="D1234" s="288" t="s">
        <v>4286</v>
      </c>
      <c r="E1234" s="553" t="s">
        <v>6148</v>
      </c>
    </row>
    <row r="1235" spans="1:5">
      <c r="A1235" s="295" t="str">
        <f t="shared" si="20"/>
        <v>Salmonella spp.</v>
      </c>
      <c r="B1235" s="26" t="s">
        <v>55</v>
      </c>
      <c r="C1235" s="26" t="s">
        <v>55</v>
      </c>
      <c r="D1235" s="288" t="s">
        <v>55</v>
      </c>
      <c r="E1235" s="553" t="s">
        <v>55</v>
      </c>
    </row>
    <row r="1236" spans="1:5">
      <c r="A1236" s="295" t="str">
        <f t="shared" si="20"/>
        <v>Shigella spp.</v>
      </c>
      <c r="B1236" s="26" t="s">
        <v>2751</v>
      </c>
      <c r="C1236" s="26" t="s">
        <v>2751</v>
      </c>
      <c r="D1236" s="288" t="s">
        <v>2751</v>
      </c>
      <c r="E1236" s="553" t="s">
        <v>2751</v>
      </c>
    </row>
    <row r="1237" spans="1:5" ht="27.6">
      <c r="A1237" s="295" t="str">
        <f t="shared" si="20"/>
        <v>Other (describe in comments, not scored)</v>
      </c>
      <c r="B1237" s="26" t="s">
        <v>745</v>
      </c>
      <c r="C1237" s="26" t="s">
        <v>2761</v>
      </c>
      <c r="D1237" s="288" t="s">
        <v>4285</v>
      </c>
      <c r="E1237" s="553" t="s">
        <v>6146</v>
      </c>
    </row>
    <row r="1238" spans="1:5" ht="41.4">
      <c r="A1238" s="295" t="str">
        <f t="shared" si="20"/>
        <v>10- IDENTIFICATION METHODS &amp; STANDARD OPERATING PROCEDURES</v>
      </c>
      <c r="B1238" s="26" t="s">
        <v>2096</v>
      </c>
      <c r="C1238" s="26" t="s">
        <v>6149</v>
      </c>
      <c r="D1238" s="288" t="s">
        <v>4287</v>
      </c>
      <c r="E1238" s="553" t="s">
        <v>6150</v>
      </c>
    </row>
    <row r="1239" spans="1:5" ht="55.2">
      <c r="A1239" s="295" t="str">
        <f t="shared" si="20"/>
        <v>Please note: all questions refer only to clinical patient isolates, NOT to research or environmental isolates</v>
      </c>
      <c r="B1239" s="26" t="s">
        <v>2126</v>
      </c>
      <c r="C1239" s="26" t="s">
        <v>2764</v>
      </c>
      <c r="D1239" s="288" t="s">
        <v>4288</v>
      </c>
      <c r="E1239" s="553" t="s">
        <v>6151</v>
      </c>
    </row>
    <row r="1240" spans="1:5" ht="41.4">
      <c r="A1240" s="295" t="str">
        <f t="shared" si="20"/>
        <v>CONVENTIONAL ID METHODS - SOP SCORE SUMMARY</v>
      </c>
      <c r="B1240" s="26" t="s">
        <v>2097</v>
      </c>
      <c r="C1240" s="26" t="s">
        <v>6152</v>
      </c>
      <c r="D1240" s="170" t="s">
        <v>4289</v>
      </c>
      <c r="E1240" s="553" t="s">
        <v>6153</v>
      </c>
    </row>
    <row r="1241" spans="1:5" ht="41.4">
      <c r="A1241" s="295" t="str">
        <f t="shared" si="20"/>
        <v>Answer the questions below for each manual method/biochemical in use at the lab.</v>
      </c>
      <c r="B1241" s="26" t="s">
        <v>2103</v>
      </c>
      <c r="C1241" s="26" t="s">
        <v>2765</v>
      </c>
      <c r="D1241" s="288" t="s">
        <v>4290</v>
      </c>
      <c r="E1241" s="553" t="s">
        <v>6154</v>
      </c>
    </row>
    <row r="1242" spans="1:5" ht="138">
      <c r="A1242" s="295" t="str">
        <f t="shared" si="20"/>
        <v>*"Fully implemented" means that the SOP has been approved and signed by a lab supervisor or designee, and that laboratory staff have been trained on the contents and utilize the SOP. A SOP that is complete but has not been approved or is not in routine use is not considered fully implemented.</v>
      </c>
      <c r="B1242" s="26" t="s">
        <v>6990</v>
      </c>
      <c r="C1242" s="26" t="s">
        <v>6155</v>
      </c>
      <c r="D1242" s="170" t="s">
        <v>4291</v>
      </c>
      <c r="E1242" s="553" t="s">
        <v>6156</v>
      </c>
    </row>
    <row r="1243" spans="1:5" ht="124.2">
      <c r="A1243" s="295" t="str">
        <f t="shared" si="20"/>
        <v xml:space="preserve">**"Readily available" means that technologists can easily access the SOP at or near the bench, either in electronic or paper form, and that the information sought is easily located within the SOP, not buried in a larger document, and is written in a language that those using the SOP can read proficiently.  </v>
      </c>
      <c r="B1243" s="26" t="s">
        <v>6991</v>
      </c>
      <c r="C1243" s="26" t="s">
        <v>6157</v>
      </c>
      <c r="D1243" s="170" t="s">
        <v>4292</v>
      </c>
      <c r="E1243" s="553" t="s">
        <v>6158</v>
      </c>
    </row>
    <row r="1244" spans="1:5" ht="27.6">
      <c r="A1244" s="295" t="str">
        <f t="shared" si="20"/>
        <v>STAPHYLOCOCCUS AUREUS, KEY ID METHODS</v>
      </c>
      <c r="B1244" s="26" t="s">
        <v>650</v>
      </c>
      <c r="C1244" s="26" t="s">
        <v>6159</v>
      </c>
      <c r="D1244" s="288" t="s">
        <v>4293</v>
      </c>
      <c r="E1244" s="553" t="s">
        <v>6812</v>
      </c>
    </row>
    <row r="1245" spans="1:5" ht="15">
      <c r="A1245" s="295" t="str">
        <f t="shared" si="20"/>
        <v>Catalase (H2O2)</v>
      </c>
      <c r="B1245" s="26" t="s">
        <v>6727</v>
      </c>
      <c r="C1245" s="26" t="s">
        <v>6727</v>
      </c>
      <c r="D1245" s="26" t="s">
        <v>6728</v>
      </c>
      <c r="E1245" s="553" t="s">
        <v>6727</v>
      </c>
    </row>
    <row r="1246" spans="1:5" ht="55.2">
      <c r="A1246" s="295" t="str">
        <f t="shared" si="20"/>
        <v>Is this reagent used to test patient isolates? (If No, select NA for the remaining questions about this reagent)</v>
      </c>
      <c r="B1246" s="26" t="s">
        <v>7202</v>
      </c>
      <c r="C1246" s="26" t="s">
        <v>7203</v>
      </c>
      <c r="D1246" s="288" t="s">
        <v>7204</v>
      </c>
      <c r="E1246" s="553" t="s">
        <v>7205</v>
      </c>
    </row>
    <row r="1247" spans="1:5" ht="69">
      <c r="A1247" s="295" t="str">
        <f t="shared" si="20"/>
        <v>Has an up-to-date SOP been fully implemented?* (If the reagent is in use but there is no SOP, answer "no" to all remaining questions about this reagent)</v>
      </c>
      <c r="B1247" s="26" t="s">
        <v>272</v>
      </c>
      <c r="C1247" s="26" t="s">
        <v>7172</v>
      </c>
      <c r="D1247" s="288" t="s">
        <v>4295</v>
      </c>
      <c r="E1247" s="553" t="s">
        <v>6162</v>
      </c>
    </row>
    <row r="1248" spans="1:5" ht="27.6">
      <c r="A1248" s="295" t="str">
        <f t="shared" si="20"/>
        <v>Is the SOP readily available** to bench staff?</v>
      </c>
      <c r="B1248" s="26" t="s">
        <v>59</v>
      </c>
      <c r="C1248" s="360" t="s">
        <v>6163</v>
      </c>
      <c r="D1248" s="170" t="s">
        <v>4296</v>
      </c>
      <c r="E1248" s="553" t="s">
        <v>6164</v>
      </c>
    </row>
    <row r="1249" spans="1:5" ht="55.2">
      <c r="A1249" s="295" t="str">
        <f t="shared" si="20"/>
        <v>Does the SOP define QC organisms, QC frequency, and expected QC results?</v>
      </c>
      <c r="B1249" s="26" t="s">
        <v>60</v>
      </c>
      <c r="C1249" s="26" t="s">
        <v>6165</v>
      </c>
      <c r="D1249" s="288" t="s">
        <v>4297</v>
      </c>
      <c r="E1249" s="553" t="s">
        <v>6166</v>
      </c>
    </row>
    <row r="1250" spans="1:5" ht="41.4">
      <c r="A1250" s="295" t="str">
        <f t="shared" si="20"/>
        <v>Does the SOP provide stepwise instructions for how to perform the test correctly?</v>
      </c>
      <c r="B1250" s="26" t="s">
        <v>255</v>
      </c>
      <c r="C1250" s="26" t="s">
        <v>7171</v>
      </c>
      <c r="D1250" s="288" t="s">
        <v>4298</v>
      </c>
      <c r="E1250" s="553" t="s">
        <v>6167</v>
      </c>
    </row>
    <row r="1251" spans="1:5" ht="41.4">
      <c r="A1251" s="295" t="str">
        <f t="shared" si="20"/>
        <v>Does the SOP provide stepwise instructions for interpreting the test result correctly?</v>
      </c>
      <c r="B1251" s="26" t="s">
        <v>256</v>
      </c>
      <c r="C1251" s="26" t="s">
        <v>6168</v>
      </c>
      <c r="D1251" s="288" t="s">
        <v>4299</v>
      </c>
      <c r="E1251" s="553" t="s">
        <v>6169</v>
      </c>
    </row>
    <row r="1252" spans="1:5" ht="41.4">
      <c r="A1252" s="295" t="str">
        <f t="shared" si="20"/>
        <v>Is catalase testing performed prior to coagulase testing on suspected Staphylococcus isolates?</v>
      </c>
      <c r="B1252" s="26" t="s">
        <v>6992</v>
      </c>
      <c r="C1252" s="26" t="s">
        <v>6993</v>
      </c>
      <c r="D1252" s="288" t="s">
        <v>4300</v>
      </c>
      <c r="E1252" s="553" t="s">
        <v>6170</v>
      </c>
    </row>
    <row r="1253" spans="1:5">
      <c r="A1253" s="295" t="str">
        <f t="shared" si="20"/>
        <v>1: Always - 2:  Sometimes - 3: Never</v>
      </c>
      <c r="B1253" s="26" t="s">
        <v>134</v>
      </c>
      <c r="C1253" s="26" t="s">
        <v>2767</v>
      </c>
      <c r="D1253" s="288" t="s">
        <v>3124</v>
      </c>
      <c r="E1253" s="553" t="s">
        <v>6171</v>
      </c>
    </row>
    <row r="1254" spans="1:5">
      <c r="A1254" s="295" t="str">
        <f t="shared" si="20"/>
        <v>Coagulase plasma</v>
      </c>
      <c r="B1254" s="26" t="s">
        <v>2104</v>
      </c>
      <c r="C1254" s="26" t="s">
        <v>5160</v>
      </c>
      <c r="D1254" s="288" t="s">
        <v>3775</v>
      </c>
      <c r="E1254" s="553" t="s">
        <v>2467</v>
      </c>
    </row>
    <row r="1255" spans="1:5" ht="27.6">
      <c r="A1255" s="295" t="str">
        <f t="shared" si="20"/>
        <v>What is the source of the plasma used for coagulase testing?</v>
      </c>
      <c r="B1255" s="26" t="s">
        <v>63</v>
      </c>
      <c r="C1255" s="26" t="s">
        <v>2768</v>
      </c>
      <c r="D1255" s="288" t="s">
        <v>4303</v>
      </c>
      <c r="E1255" s="553" t="s">
        <v>6176</v>
      </c>
    </row>
    <row r="1256" spans="1:5" ht="69">
      <c r="A1256" s="295" t="str">
        <f t="shared" si="20"/>
        <v xml:space="preserve">1: Commercially purchased rabbit plasma – 2: Locally bled rabbit – 3: Human plasma – 4: Other source (please describe in comments) </v>
      </c>
      <c r="B1256" s="26" t="s">
        <v>6994</v>
      </c>
      <c r="C1256" s="26" t="s">
        <v>2769</v>
      </c>
      <c r="D1256" s="288" t="s">
        <v>4304</v>
      </c>
      <c r="E1256" s="553" t="s">
        <v>6177</v>
      </c>
    </row>
    <row r="1257" spans="1:5" ht="55.2">
      <c r="A1257" s="295" t="str">
        <f t="shared" si="20"/>
        <v>Are negative slide coagulase results confirmed with a tube coagulase test before being reported?</v>
      </c>
      <c r="B1257" s="26" t="s">
        <v>132</v>
      </c>
      <c r="C1257" s="26" t="s">
        <v>6178</v>
      </c>
      <c r="D1257" s="170" t="s">
        <v>4305</v>
      </c>
      <c r="E1257" s="553" t="s">
        <v>6179</v>
      </c>
    </row>
    <row r="1258" spans="1:5" ht="41.4">
      <c r="A1258" s="295" t="str">
        <f t="shared" si="20"/>
        <v>1: Always 2:  Sometimes 3: Never; NA, lab does not perform slide coagulase testing</v>
      </c>
      <c r="B1258" s="26" t="s">
        <v>1639</v>
      </c>
      <c r="C1258" s="26" t="s">
        <v>2770</v>
      </c>
      <c r="D1258" s="288" t="s">
        <v>4306</v>
      </c>
      <c r="E1258" s="553" t="s">
        <v>6180</v>
      </c>
    </row>
    <row r="1259" spans="1:5" ht="27.6">
      <c r="A1259" s="295" t="str">
        <f t="shared" si="20"/>
        <v>STAPHYLOCOCCUS AUREUS, OTHER ID METHODS</v>
      </c>
      <c r="B1259" s="26" t="s">
        <v>811</v>
      </c>
      <c r="C1259" s="26" t="s">
        <v>2454</v>
      </c>
      <c r="D1259" s="288" t="s">
        <v>2936</v>
      </c>
      <c r="E1259" s="553" t="s">
        <v>5103</v>
      </c>
    </row>
    <row r="1260" spans="1:5">
      <c r="A1260" s="295" t="str">
        <f t="shared" si="20"/>
        <v>Staph latex agglutination</v>
      </c>
      <c r="B1260" s="26" t="s">
        <v>2105</v>
      </c>
      <c r="C1260" s="26" t="s">
        <v>6181</v>
      </c>
      <c r="D1260" s="170" t="s">
        <v>3776</v>
      </c>
      <c r="E1260" s="553" t="s">
        <v>5163</v>
      </c>
    </row>
    <row r="1261" spans="1:5" ht="41.4">
      <c r="A1261" s="295" t="str">
        <f t="shared" si="20"/>
        <v>Are disposable reaction cards discarded after use (not reused)?</v>
      </c>
      <c r="B1261" s="26" t="s">
        <v>1952</v>
      </c>
      <c r="C1261" s="26" t="s">
        <v>6182</v>
      </c>
      <c r="D1261" s="170" t="s">
        <v>4307</v>
      </c>
      <c r="E1261" s="553" t="s">
        <v>6183</v>
      </c>
    </row>
    <row r="1262" spans="1:5" ht="55.2">
      <c r="A1262" s="295" t="str">
        <f t="shared" si="20"/>
        <v>1: Always - 2:  Sometimes - 3: No - NA, lab does not use latex agglutination to identify Staph</v>
      </c>
      <c r="B1262" s="26" t="s">
        <v>257</v>
      </c>
      <c r="C1262" s="26" t="s">
        <v>6184</v>
      </c>
      <c r="D1262" s="288" t="s">
        <v>4308</v>
      </c>
      <c r="E1262" s="553" t="s">
        <v>6185</v>
      </c>
    </row>
    <row r="1263" spans="1:5" ht="27.6">
      <c r="A1263" s="295" t="str">
        <f t="shared" si="20"/>
        <v>Staph chromagar</v>
      </c>
      <c r="B1263" s="26" t="s">
        <v>2106</v>
      </c>
      <c r="C1263" s="26" t="s">
        <v>6186</v>
      </c>
      <c r="D1263" s="288" t="s">
        <v>3777</v>
      </c>
      <c r="E1263" s="553" t="s">
        <v>6187</v>
      </c>
    </row>
    <row r="1264" spans="1:5">
      <c r="A1264" s="295" t="str">
        <f t="shared" si="20"/>
        <v>DNase</v>
      </c>
      <c r="B1264" s="26" t="s">
        <v>2107</v>
      </c>
      <c r="C1264" s="26" t="s">
        <v>2107</v>
      </c>
      <c r="D1264" s="288" t="s">
        <v>2948</v>
      </c>
      <c r="E1264" s="553" t="s">
        <v>2107</v>
      </c>
    </row>
    <row r="1265" spans="1:5" ht="41.4">
      <c r="A1265" s="295" t="str">
        <f t="shared" si="20"/>
        <v>STREPTOCOCCUS PNEUMONIAE, CONVENTIONAL ID METHODS</v>
      </c>
      <c r="B1265" s="26" t="s">
        <v>332</v>
      </c>
      <c r="C1265" s="26" t="s">
        <v>2455</v>
      </c>
      <c r="D1265" s="288" t="s">
        <v>2937</v>
      </c>
      <c r="E1265" s="553" t="s">
        <v>6188</v>
      </c>
    </row>
    <row r="1266" spans="1:5">
      <c r="A1266" s="295" t="str">
        <f t="shared" si="20"/>
        <v>PYR</v>
      </c>
      <c r="B1266" s="26" t="s">
        <v>2108</v>
      </c>
      <c r="C1266" s="26" t="s">
        <v>2108</v>
      </c>
      <c r="D1266" s="289" t="s">
        <v>3778</v>
      </c>
      <c r="E1266" s="553" t="s">
        <v>2108</v>
      </c>
    </row>
    <row r="1267" spans="1:5">
      <c r="A1267" s="295" t="str">
        <f t="shared" ref="A1267:A1282" si="21">IF(langue=1,B1267,IF(langue=2,C1267,IF(langue=3,D1267,IF(langue=4,E1267,F1267))))</f>
        <v>Bile solubility (deoxycholate)</v>
      </c>
      <c r="B1267" s="26" t="s">
        <v>2109</v>
      </c>
      <c r="C1267" s="26" t="s">
        <v>2468</v>
      </c>
      <c r="D1267" s="289" t="s">
        <v>3780</v>
      </c>
      <c r="E1267" s="553" t="s">
        <v>5167</v>
      </c>
    </row>
    <row r="1268" spans="1:5">
      <c r="A1268" s="295" t="str">
        <f t="shared" si="21"/>
        <v>Optochin (“P”) disk</v>
      </c>
      <c r="B1268" s="26" t="s">
        <v>2134</v>
      </c>
      <c r="C1268" s="26" t="s">
        <v>2771</v>
      </c>
      <c r="D1268" s="288" t="s">
        <v>4164</v>
      </c>
      <c r="E1268" s="553" t="s">
        <v>6189</v>
      </c>
    </row>
    <row r="1269" spans="1:5" ht="69">
      <c r="A1269" s="295" t="str">
        <f t="shared" si="21"/>
        <v>If the Optochin result is equivocal (9-13mm), is bile solubility or other additional testing performed to confirm the ID?</v>
      </c>
      <c r="B1269" s="26" t="s">
        <v>258</v>
      </c>
      <c r="C1269" s="26" t="s">
        <v>6190</v>
      </c>
      <c r="D1269" s="170" t="s">
        <v>4309</v>
      </c>
      <c r="E1269" s="553" t="s">
        <v>6191</v>
      </c>
    </row>
    <row r="1270" spans="1:5" ht="27.6">
      <c r="A1270" s="295" t="str">
        <f t="shared" si="21"/>
        <v>Streptococcus pneumoniae latex agglutination</v>
      </c>
      <c r="B1270" s="26" t="s">
        <v>6995</v>
      </c>
      <c r="C1270" s="26" t="s">
        <v>6192</v>
      </c>
      <c r="D1270" s="170" t="s">
        <v>6996</v>
      </c>
      <c r="E1270" s="553" t="s">
        <v>6997</v>
      </c>
    </row>
    <row r="1271" spans="1:5" ht="27.6">
      <c r="A1271" s="295" t="str">
        <f t="shared" si="21"/>
        <v>ENTEROBACTERIACEAE, CONVENTIONAL ID METHODS</v>
      </c>
      <c r="B1271" s="26" t="s">
        <v>331</v>
      </c>
      <c r="C1271" s="26" t="s">
        <v>2456</v>
      </c>
      <c r="D1271" s="288" t="s">
        <v>2938</v>
      </c>
      <c r="E1271" s="553" t="s">
        <v>6193</v>
      </c>
    </row>
    <row r="1272" spans="1:5">
      <c r="A1272" s="295" t="str">
        <f t="shared" si="21"/>
        <v>Oxidase</v>
      </c>
      <c r="B1272" s="26" t="s">
        <v>2111</v>
      </c>
      <c r="C1272" s="26" t="s">
        <v>2469</v>
      </c>
      <c r="D1272" s="288" t="s">
        <v>2949</v>
      </c>
      <c r="E1272" s="553" t="s">
        <v>2111</v>
      </c>
    </row>
    <row r="1273" spans="1:5">
      <c r="A1273" s="295" t="str">
        <f t="shared" si="21"/>
        <v>Indole</v>
      </c>
      <c r="B1273" s="26" t="s">
        <v>2112</v>
      </c>
      <c r="C1273" s="26" t="s">
        <v>2112</v>
      </c>
      <c r="D1273" s="288" t="s">
        <v>4310</v>
      </c>
      <c r="E1273" s="553" t="s">
        <v>4310</v>
      </c>
    </row>
    <row r="1274" spans="1:5">
      <c r="A1274" s="295" t="str">
        <f t="shared" si="21"/>
        <v>Methyl Red</v>
      </c>
      <c r="B1274" s="26" t="s">
        <v>2113</v>
      </c>
      <c r="C1274" s="26" t="s">
        <v>6194</v>
      </c>
      <c r="D1274" s="288" t="s">
        <v>3782</v>
      </c>
      <c r="E1274" s="553" t="s">
        <v>5172</v>
      </c>
    </row>
    <row r="1275" spans="1:5" ht="55.2">
      <c r="A1275" s="295" t="str">
        <f t="shared" si="21"/>
        <v>Is this reagent used to test patient isolates? (If No, select N/A for the remaining questions about this reagent)</v>
      </c>
      <c r="B1275" s="26" t="s">
        <v>6726</v>
      </c>
      <c r="C1275" s="26" t="s">
        <v>2766</v>
      </c>
      <c r="D1275" s="288" t="s">
        <v>4294</v>
      </c>
      <c r="E1275" s="553" t="s">
        <v>6160</v>
      </c>
    </row>
    <row r="1276" spans="1:5" ht="69">
      <c r="A1276" s="295" t="str">
        <f t="shared" si="21"/>
        <v>Has an up-to-date SOP been fully implemented?* (If the reagent is in use but there is no SOP, answer "no" to all remaining questions about this reagent)</v>
      </c>
      <c r="B1276" s="26" t="s">
        <v>272</v>
      </c>
      <c r="C1276" s="26" t="s">
        <v>6161</v>
      </c>
      <c r="D1276" s="288" t="s">
        <v>4295</v>
      </c>
      <c r="E1276" s="553" t="s">
        <v>6162</v>
      </c>
    </row>
    <row r="1277" spans="1:5" ht="27.6">
      <c r="A1277" s="295" t="str">
        <f t="shared" si="21"/>
        <v>Is the SOP readily available** to bench staff?</v>
      </c>
      <c r="B1277" s="26" t="s">
        <v>59</v>
      </c>
      <c r="C1277" s="360" t="s">
        <v>6163</v>
      </c>
      <c r="D1277" s="170" t="s">
        <v>4296</v>
      </c>
      <c r="E1277" s="553" t="s">
        <v>6164</v>
      </c>
    </row>
    <row r="1278" spans="1:5" ht="55.2">
      <c r="A1278" s="295" t="str">
        <f t="shared" si="21"/>
        <v>Does the SOP define QC organisms, QC frequency, and expected QC results?</v>
      </c>
      <c r="B1278" s="26" t="s">
        <v>60</v>
      </c>
      <c r="C1278" s="26" t="s">
        <v>6165</v>
      </c>
      <c r="D1278" s="288" t="s">
        <v>4297</v>
      </c>
      <c r="E1278" s="553" t="s">
        <v>6166</v>
      </c>
    </row>
    <row r="1279" spans="1:5" ht="41.4">
      <c r="A1279" s="295" t="str">
        <f t="shared" si="21"/>
        <v>Does the SOP provide stepwise instructions for inoculation and incubation?</v>
      </c>
      <c r="B1279" s="26" t="s">
        <v>61</v>
      </c>
      <c r="C1279" s="288" t="s">
        <v>6172</v>
      </c>
      <c r="D1279" s="288" t="s">
        <v>4301</v>
      </c>
      <c r="E1279" s="553" t="s">
        <v>6173</v>
      </c>
    </row>
    <row r="1280" spans="1:5" ht="41.4">
      <c r="A1280" s="295" t="str">
        <f t="shared" si="21"/>
        <v>Does the SOP provide stepwise instructions for reading and interpretation?</v>
      </c>
      <c r="B1280" s="26" t="s">
        <v>62</v>
      </c>
      <c r="C1280" s="288" t="s">
        <v>6174</v>
      </c>
      <c r="D1280" s="288" t="s">
        <v>4302</v>
      </c>
      <c r="E1280" s="553" t="s">
        <v>6175</v>
      </c>
    </row>
    <row r="1281" spans="1:5">
      <c r="A1281" s="295" t="str">
        <f t="shared" si="21"/>
        <v>Voges-Proskauer</v>
      </c>
      <c r="B1281" s="26" t="s">
        <v>2114</v>
      </c>
      <c r="C1281" s="26" t="s">
        <v>2114</v>
      </c>
      <c r="D1281" s="288" t="s">
        <v>2114</v>
      </c>
      <c r="E1281" s="553" t="s">
        <v>2114</v>
      </c>
    </row>
    <row r="1282" spans="1:5">
      <c r="A1282" s="295" t="str">
        <f t="shared" si="21"/>
        <v>Citrate</v>
      </c>
      <c r="B1282" s="26" t="s">
        <v>2115</v>
      </c>
      <c r="C1282" s="26" t="s">
        <v>2115</v>
      </c>
      <c r="D1282" s="288" t="s">
        <v>2951</v>
      </c>
      <c r="E1282" s="553" t="s">
        <v>2951</v>
      </c>
    </row>
    <row r="1283" spans="1:5" ht="27.6">
      <c r="A1283" s="295" t="str">
        <f t="shared" ref="A1283:A1293" si="22">IF(langue=1,B1283,IF(langue=2,C1283,IF(langue=3,D1283,IF(langue=4,E1283,F1283))))</f>
        <v>Triple Sugar Iron (TSI) or Kligler Iron Agar (KIA)</v>
      </c>
      <c r="B1283" s="26" t="s">
        <v>6998</v>
      </c>
      <c r="C1283" s="26" t="s">
        <v>6195</v>
      </c>
      <c r="D1283" s="288" t="s">
        <v>4311</v>
      </c>
      <c r="E1283" s="553" t="s">
        <v>6196</v>
      </c>
    </row>
    <row r="1284" spans="1:5">
      <c r="A1284" s="295" t="str">
        <f t="shared" si="22"/>
        <v>Urease</v>
      </c>
      <c r="B1284" s="26" t="s">
        <v>2116</v>
      </c>
      <c r="C1284" s="26" t="s">
        <v>2473</v>
      </c>
      <c r="D1284" s="288" t="s">
        <v>2952</v>
      </c>
      <c r="E1284" s="553" t="s">
        <v>2116</v>
      </c>
    </row>
    <row r="1285" spans="1:5">
      <c r="A1285" s="295" t="str">
        <f t="shared" si="22"/>
        <v>Motility</v>
      </c>
      <c r="B1285" s="26" t="s">
        <v>2117</v>
      </c>
      <c r="C1285" s="26" t="s">
        <v>2474</v>
      </c>
      <c r="D1285" s="288" t="s">
        <v>2953</v>
      </c>
      <c r="E1285" s="553" t="s">
        <v>5176</v>
      </c>
    </row>
    <row r="1286" spans="1:5" ht="27.6">
      <c r="A1286" s="295" t="str">
        <f t="shared" si="22"/>
        <v>Lysine Iron Agar (LIA) or Lysine Decarboxylase (LDC)</v>
      </c>
      <c r="B1286" s="26" t="s">
        <v>2118</v>
      </c>
      <c r="C1286" s="26" t="s">
        <v>4572</v>
      </c>
      <c r="D1286" s="170" t="s">
        <v>4312</v>
      </c>
      <c r="E1286" s="553" t="s">
        <v>5177</v>
      </c>
    </row>
    <row r="1287" spans="1:5">
      <c r="A1287" s="295" t="str">
        <f t="shared" si="22"/>
        <v>SHIGELLA/SALMONELLA SEROLOGY</v>
      </c>
      <c r="B1287" s="26" t="s">
        <v>651</v>
      </c>
      <c r="C1287" s="26" t="s">
        <v>2457</v>
      </c>
      <c r="D1287" s="288" t="s">
        <v>4313</v>
      </c>
      <c r="E1287" s="553" t="s">
        <v>6197</v>
      </c>
    </row>
    <row r="1288" spans="1:5">
      <c r="A1288" s="295" t="str">
        <f t="shared" si="22"/>
        <v>Shigella serology</v>
      </c>
      <c r="B1288" s="26" t="s">
        <v>2119</v>
      </c>
      <c r="C1288" s="26" t="s">
        <v>2481</v>
      </c>
      <c r="D1288" s="288" t="s">
        <v>2958</v>
      </c>
      <c r="E1288" s="553" t="s">
        <v>6198</v>
      </c>
    </row>
    <row r="1289" spans="1:5">
      <c r="A1289" s="295" t="str">
        <f t="shared" si="22"/>
        <v>Salmonella serology</v>
      </c>
      <c r="B1289" s="26" t="s">
        <v>2120</v>
      </c>
      <c r="C1289" s="26" t="s">
        <v>2482</v>
      </c>
      <c r="D1289" s="288" t="s">
        <v>2959</v>
      </c>
      <c r="E1289" s="553" t="s">
        <v>6199</v>
      </c>
    </row>
    <row r="1290" spans="1:5" ht="27.6">
      <c r="A1290" s="295" t="str">
        <f t="shared" si="22"/>
        <v>ACINETOBACTER SPP, CONVENTIONAL ID METHODS</v>
      </c>
      <c r="B1290" s="26" t="s">
        <v>330</v>
      </c>
      <c r="C1290" s="26" t="s">
        <v>2458</v>
      </c>
      <c r="D1290" s="288" t="s">
        <v>2939</v>
      </c>
      <c r="E1290" s="553" t="s">
        <v>6200</v>
      </c>
    </row>
    <row r="1291" spans="1:5" ht="27.6">
      <c r="A1291" s="295" t="str">
        <f t="shared" si="22"/>
        <v>Glucose Oxidative-Fermentative (OF) test</v>
      </c>
      <c r="B1291" s="26" t="s">
        <v>2121</v>
      </c>
      <c r="C1291" s="26" t="s">
        <v>2772</v>
      </c>
      <c r="D1291" s="290" t="s">
        <v>4314</v>
      </c>
      <c r="E1291" s="553" t="s">
        <v>6201</v>
      </c>
    </row>
    <row r="1292" spans="1:5">
      <c r="A1292" s="295" t="str">
        <f t="shared" si="22"/>
        <v>Nitrate reduction</v>
      </c>
      <c r="B1292" s="26" t="s">
        <v>2122</v>
      </c>
      <c r="C1292" s="26" t="s">
        <v>2477</v>
      </c>
      <c r="D1292" s="288" t="s">
        <v>2954</v>
      </c>
      <c r="E1292" s="553" t="s">
        <v>6202</v>
      </c>
    </row>
    <row r="1293" spans="1:5">
      <c r="A1293" s="295" t="str">
        <f t="shared" si="22"/>
        <v>Gelatin hydrolysis</v>
      </c>
      <c r="B1293" s="26" t="s">
        <v>2123</v>
      </c>
      <c r="C1293" s="26" t="s">
        <v>2478</v>
      </c>
      <c r="D1293" s="288" t="s">
        <v>2955</v>
      </c>
      <c r="E1293" s="553" t="s">
        <v>5914</v>
      </c>
    </row>
    <row r="1294" spans="1:5">
      <c r="A1294" s="295" t="str">
        <f t="shared" ref="A1294:A1344" si="23">IF(langue=1,B1294,IF(langue=2,C1294,IF(langue=3,D1294,IF(langue=4,E1294,F1294))))</f>
        <v>Chloramphenicol resistance (disk)</v>
      </c>
      <c r="B1294" s="26" t="s">
        <v>2124</v>
      </c>
      <c r="C1294" s="26" t="s">
        <v>2479</v>
      </c>
      <c r="D1294" s="288" t="s">
        <v>2956</v>
      </c>
      <c r="E1294" s="553" t="s">
        <v>5181</v>
      </c>
    </row>
    <row r="1295" spans="1:5">
      <c r="A1295" s="295" t="str">
        <f t="shared" si="23"/>
        <v>Growth at 42°C</v>
      </c>
      <c r="B1295" s="26" t="s">
        <v>2125</v>
      </c>
      <c r="C1295" s="26" t="s">
        <v>2480</v>
      </c>
      <c r="D1295" s="288" t="s">
        <v>2957</v>
      </c>
      <c r="E1295" s="553" t="s">
        <v>5182</v>
      </c>
    </row>
    <row r="1296" spans="1:5" ht="27.6">
      <c r="A1296" s="295" t="str">
        <f t="shared" si="23"/>
        <v>KIT-BASED ID METHODS</v>
      </c>
      <c r="B1296" s="26" t="s">
        <v>58</v>
      </c>
      <c r="C1296" s="26" t="s">
        <v>4569</v>
      </c>
      <c r="D1296" s="288" t="s">
        <v>3752</v>
      </c>
      <c r="E1296" s="553" t="s">
        <v>6203</v>
      </c>
    </row>
    <row r="1297" spans="1:5" ht="124.2">
      <c r="A1297" s="295" t="str">
        <f t="shared" si="23"/>
        <v xml:space="preserve"> If the lab uses rapid biochemical kits for organism ID (e.g., API, Liofilchem, RapID), does the SOP for each kit contain the following information? (If kits are not used, select "NA", if kits are used but there is no SOP, select "No")</v>
      </c>
      <c r="B1297" s="26" t="s">
        <v>2322</v>
      </c>
      <c r="C1297" s="26" t="s">
        <v>6204</v>
      </c>
      <c r="D1297" s="288" t="s">
        <v>4315</v>
      </c>
      <c r="E1297" s="553" t="s">
        <v>6205</v>
      </c>
    </row>
    <row r="1298" spans="1:5" ht="41.4">
      <c r="A1298" s="295" t="str">
        <f t="shared" si="23"/>
        <v>Defined QC organisms, QC frequency, and expected QC results</v>
      </c>
      <c r="B1298" s="26" t="s">
        <v>2308</v>
      </c>
      <c r="C1298" s="26" t="s">
        <v>6206</v>
      </c>
      <c r="D1298" s="170" t="s">
        <v>4316</v>
      </c>
      <c r="E1298" s="553" t="s">
        <v>6207</v>
      </c>
    </row>
    <row r="1299" spans="1:5" ht="41.4">
      <c r="A1299" s="295" t="str">
        <f t="shared" si="23"/>
        <v>Stepwise instructions for preparing the inoculum in the correct liquid medium and at the correct density</v>
      </c>
      <c r="B1299" s="26" t="s">
        <v>2309</v>
      </c>
      <c r="C1299" s="26" t="s">
        <v>6208</v>
      </c>
      <c r="D1299" s="288" t="s">
        <v>4317</v>
      </c>
      <c r="E1299" s="553" t="s">
        <v>6209</v>
      </c>
    </row>
    <row r="1300" spans="1:5" ht="27.6">
      <c r="A1300" s="295" t="str">
        <f t="shared" si="23"/>
        <v>Stepwise instructions on how to inoculate and incubate the device</v>
      </c>
      <c r="B1300" s="26" t="s">
        <v>2310</v>
      </c>
      <c r="C1300" s="26" t="s">
        <v>6210</v>
      </c>
      <c r="D1300" s="288" t="s">
        <v>4318</v>
      </c>
      <c r="E1300" s="553" t="s">
        <v>6211</v>
      </c>
    </row>
    <row r="1301" spans="1:5" ht="55.2">
      <c r="A1301" s="295" t="str">
        <f t="shared" si="23"/>
        <v>Stepwise instructions on how to read the results, including use of additional reagents if necessary</v>
      </c>
      <c r="B1301" s="26" t="s">
        <v>2311</v>
      </c>
      <c r="C1301" s="26" t="s">
        <v>6212</v>
      </c>
      <c r="D1301" s="288" t="s">
        <v>4319</v>
      </c>
      <c r="E1301" s="553" t="s">
        <v>6213</v>
      </c>
    </row>
    <row r="1302" spans="1:5" ht="41.4">
      <c r="A1302" s="295" t="str">
        <f t="shared" si="23"/>
        <v>Clear guidance on interpreting results and recognizing unacceptable results</v>
      </c>
      <c r="B1302" s="26" t="s">
        <v>2312</v>
      </c>
      <c r="C1302" s="26" t="s">
        <v>6214</v>
      </c>
      <c r="D1302" s="170" t="s">
        <v>4320</v>
      </c>
      <c r="E1302" s="553" t="s">
        <v>6215</v>
      </c>
    </row>
    <row r="1303" spans="1:5" ht="41.4">
      <c r="A1303" s="295" t="str">
        <f t="shared" si="23"/>
        <v>1: Yes - 2: Partial - 3: No - NA: lab does not use rapid biochemical kits</v>
      </c>
      <c r="B1303" s="26" t="s">
        <v>7150</v>
      </c>
      <c r="C1303" s="26" t="s">
        <v>7151</v>
      </c>
      <c r="D1303" s="288" t="s">
        <v>7152</v>
      </c>
      <c r="E1303" s="553" t="s">
        <v>7153</v>
      </c>
    </row>
    <row r="1304" spans="1:5" ht="41.4">
      <c r="A1304" s="295" t="str">
        <f t="shared" si="23"/>
        <v>Are the SOPs available in a language that the technologists can read proficiently?</v>
      </c>
      <c r="B1304" s="26" t="s">
        <v>6999</v>
      </c>
      <c r="C1304" s="26" t="s">
        <v>6216</v>
      </c>
      <c r="D1304" s="288" t="s">
        <v>4321</v>
      </c>
      <c r="E1304" s="553" t="s">
        <v>6217</v>
      </c>
    </row>
    <row r="1305" spans="1:5" ht="41.4">
      <c r="A1305" s="295" t="str">
        <f t="shared" si="23"/>
        <v xml:space="preserve">Is the lab using the inoculation media recommended by the manufacturer? </v>
      </c>
      <c r="B1305" s="26" t="s">
        <v>128</v>
      </c>
      <c r="C1305" s="26" t="s">
        <v>2773</v>
      </c>
      <c r="D1305" s="288" t="s">
        <v>3126</v>
      </c>
      <c r="E1305" s="553" t="s">
        <v>6218</v>
      </c>
    </row>
    <row r="1306" spans="1:5" ht="151.80000000000001">
      <c r="A1306" s="295" t="str">
        <f t="shared" si="23"/>
        <v>Following device inoculation, does the lab use the remaining inoculum to make a purity plate? (A purity plate is a light subculture of the inoculum that is made to ensure the inoculum was not a mixed culture or contaminated; usually streaked like a urine to ensure visualization of individual colonies and checked for purity when reading results)</v>
      </c>
      <c r="B1306" s="26" t="s">
        <v>7000</v>
      </c>
      <c r="C1306" s="26" t="s">
        <v>6219</v>
      </c>
      <c r="D1306" s="288" t="s">
        <v>4322</v>
      </c>
      <c r="E1306" s="553" t="s">
        <v>6220</v>
      </c>
    </row>
    <row r="1307" spans="1:5" ht="69">
      <c r="A1307" s="295" t="str">
        <f t="shared" si="23"/>
        <v xml:space="preserve">Following incubation, are all supplemental reagents available and added according to manufacturer instructions? (e.g., VP1 &amp; 2 for API) </v>
      </c>
      <c r="B1307" s="26" t="s">
        <v>129</v>
      </c>
      <c r="C1307" s="26" t="s">
        <v>2774</v>
      </c>
      <c r="D1307" s="288" t="s">
        <v>4323</v>
      </c>
      <c r="E1307" s="553" t="s">
        <v>6221</v>
      </c>
    </row>
    <row r="1308" spans="1:5" ht="41.4">
      <c r="A1308" s="295" t="str">
        <f t="shared" si="23"/>
        <v>Are the databases used to interpret the kit results (bionumbers) up to date?</v>
      </c>
      <c r="B1308" s="26" t="s">
        <v>130</v>
      </c>
      <c r="C1308" s="26" t="s">
        <v>4759</v>
      </c>
      <c r="D1308" s="288" t="s">
        <v>4324</v>
      </c>
      <c r="E1308" s="553" t="s">
        <v>6222</v>
      </c>
    </row>
    <row r="1309" spans="1:5" ht="110.4">
      <c r="A1309" s="295" t="str">
        <f t="shared" si="23"/>
        <v>When an ID result (bionumber) does not reach the threshold for an acceptable identification, is there evidence that appropriate action is taken, such as repeating the test by another method or performing additional biochemical tests?</v>
      </c>
      <c r="B1309" s="26" t="s">
        <v>131</v>
      </c>
      <c r="C1309" s="26" t="s">
        <v>4760</v>
      </c>
      <c r="D1309" s="288" t="s">
        <v>4325</v>
      </c>
      <c r="E1309" s="553" t="s">
        <v>6223</v>
      </c>
    </row>
    <row r="1310" spans="1:5" ht="27.6">
      <c r="A1310" s="295" t="str">
        <f t="shared" si="23"/>
        <v>AUTOMATED ID METHODS</v>
      </c>
      <c r="B1310" s="26" t="s">
        <v>56</v>
      </c>
      <c r="C1310" s="26" t="s">
        <v>6224</v>
      </c>
      <c r="D1310" s="288" t="s">
        <v>2940</v>
      </c>
      <c r="E1310" s="553" t="s">
        <v>5110</v>
      </c>
    </row>
    <row r="1311" spans="1:5" ht="96.6">
      <c r="A1311" s="295" t="str">
        <f t="shared" si="23"/>
        <v>If the lab uses automated methods for organism ID (e.g., Vitek, Microscan, Phoenix), do the SOPs contain the following information? (User manuals provided by the manufacturer are not considered SOPs)</v>
      </c>
      <c r="B1311" s="26" t="s">
        <v>2317</v>
      </c>
      <c r="C1311" s="26" t="s">
        <v>6225</v>
      </c>
      <c r="D1311" s="288" t="s">
        <v>4326</v>
      </c>
      <c r="E1311" s="553" t="s">
        <v>6226</v>
      </c>
    </row>
    <row r="1312" spans="1:5" ht="41.4">
      <c r="A1312" s="295" t="str">
        <f t="shared" si="23"/>
        <v>Defined QC organisms, QC frequency, and expected QC results</v>
      </c>
      <c r="B1312" s="26" t="s">
        <v>2308</v>
      </c>
      <c r="C1312" s="26" t="s">
        <v>6227</v>
      </c>
      <c r="D1312" s="170" t="s">
        <v>3125</v>
      </c>
      <c r="E1312" s="553" t="s">
        <v>6207</v>
      </c>
    </row>
    <row r="1313" spans="1:5" ht="41.4">
      <c r="A1313" s="295" t="str">
        <f t="shared" si="23"/>
        <v>Stepwise instructions for preparing the inoculum in the correct liquid medium and at the correct density</v>
      </c>
      <c r="B1313" s="26" t="s">
        <v>2309</v>
      </c>
      <c r="C1313" s="26" t="s">
        <v>6208</v>
      </c>
      <c r="D1313" s="288" t="s">
        <v>4317</v>
      </c>
      <c r="E1313" s="553" t="s">
        <v>6209</v>
      </c>
    </row>
    <row r="1314" spans="1:5" ht="27.6">
      <c r="A1314" s="295" t="str">
        <f t="shared" si="23"/>
        <v>Stepwise instructions on how to inoculate and incubate the device</v>
      </c>
      <c r="B1314" s="26" t="s">
        <v>2310</v>
      </c>
      <c r="C1314" s="26" t="s">
        <v>6210</v>
      </c>
      <c r="D1314" s="288" t="s">
        <v>4318</v>
      </c>
      <c r="E1314" s="553" t="s">
        <v>6211</v>
      </c>
    </row>
    <row r="1315" spans="1:5" ht="55.2">
      <c r="A1315" s="295" t="str">
        <f t="shared" si="23"/>
        <v>Stepwise instructions on how to read the results, including use of additional reagents if necessary</v>
      </c>
      <c r="B1315" s="26" t="s">
        <v>2311</v>
      </c>
      <c r="C1315" s="26" t="s">
        <v>6212</v>
      </c>
      <c r="D1315" s="288" t="s">
        <v>4319</v>
      </c>
      <c r="E1315" s="553" t="s">
        <v>6213</v>
      </c>
    </row>
    <row r="1316" spans="1:5" ht="41.4">
      <c r="A1316" s="295" t="str">
        <f t="shared" si="23"/>
        <v>Clear guidance on interpreting results and recognizing unacceptable results</v>
      </c>
      <c r="B1316" s="26" t="s">
        <v>2312</v>
      </c>
      <c r="C1316" s="26" t="s">
        <v>6214</v>
      </c>
      <c r="D1316" s="170" t="s">
        <v>4327</v>
      </c>
      <c r="E1316" s="553" t="s">
        <v>6215</v>
      </c>
    </row>
    <row r="1317" spans="1:5" ht="41.4">
      <c r="A1317" s="295" t="str">
        <f t="shared" si="23"/>
        <v>1: Yes; 2: Partial; 3: No; NA: automated methods are not used</v>
      </c>
      <c r="B1317" s="26" t="s">
        <v>1953</v>
      </c>
      <c r="C1317" s="26" t="s">
        <v>2775</v>
      </c>
      <c r="D1317" s="288" t="s">
        <v>3127</v>
      </c>
      <c r="E1317" s="553" t="s">
        <v>6228</v>
      </c>
    </row>
    <row r="1318" spans="1:5" ht="55.2">
      <c r="A1318" s="295" t="str">
        <f t="shared" si="23"/>
        <v>Is the SOP available in a language that the technologists using the instrument can read proficiently?</v>
      </c>
      <c r="B1318" s="26" t="s">
        <v>7001</v>
      </c>
      <c r="C1318" s="26" t="s">
        <v>6216</v>
      </c>
      <c r="D1318" s="288" t="s">
        <v>4321</v>
      </c>
      <c r="E1318" s="553" t="s">
        <v>6229</v>
      </c>
    </row>
    <row r="1319" spans="1:5" ht="41.4">
      <c r="A1319" s="295" t="str">
        <f t="shared" si="23"/>
        <v xml:space="preserve">Is the lab using the inoculation medium recommended by the manufacturer? </v>
      </c>
      <c r="B1319" s="26" t="s">
        <v>57</v>
      </c>
      <c r="C1319" s="26" t="s">
        <v>2773</v>
      </c>
      <c r="D1319" s="288" t="s">
        <v>3126</v>
      </c>
      <c r="E1319" s="553" t="s">
        <v>6230</v>
      </c>
    </row>
    <row r="1320" spans="1:5" ht="41.4">
      <c r="A1320" s="295" t="str">
        <f t="shared" si="23"/>
        <v>Following card/tray inoculation, does the lab use the remaining inoculum to make a purity plate?</v>
      </c>
      <c r="B1320" s="26" t="s">
        <v>1867</v>
      </c>
      <c r="C1320" s="26" t="s">
        <v>6231</v>
      </c>
      <c r="D1320" s="170" t="s">
        <v>3128</v>
      </c>
      <c r="E1320" s="553" t="s">
        <v>6232</v>
      </c>
    </row>
    <row r="1321" spans="1:5" ht="124.2">
      <c r="A1321" s="295" t="str">
        <f t="shared" si="23"/>
        <v>A purity plate is a light subculture of the inoculum that is made to ensure the inoculum was not mixed or contaminated; usually streaked like a urine to ensure visualization of individual colonies and checked for purity when reading results. BAP is typically used.</v>
      </c>
      <c r="B1321" s="26" t="s">
        <v>2198</v>
      </c>
      <c r="C1321" s="26" t="s">
        <v>6233</v>
      </c>
      <c r="D1321" s="288" t="s">
        <v>4328</v>
      </c>
      <c r="E1321" s="553" t="s">
        <v>6234</v>
      </c>
    </row>
    <row r="1322" spans="1:5" ht="96.6">
      <c r="A1322" s="295" t="str">
        <f t="shared" si="23"/>
        <v>When the instrument software flags an ID result as questionable, is there evidence that appropriate action is taken, such as repeating the test by another method or performing additional biochemical tests?</v>
      </c>
      <c r="B1322" s="26" t="s">
        <v>133</v>
      </c>
      <c r="C1322" s="26" t="s">
        <v>6235</v>
      </c>
      <c r="D1322" s="288" t="s">
        <v>4329</v>
      </c>
      <c r="E1322" s="553" t="s">
        <v>6236</v>
      </c>
    </row>
    <row r="1323" spans="1:5">
      <c r="A1323" s="295" t="str">
        <f t="shared" si="23"/>
        <v>IDENTIFICATION FLOWCHARTS</v>
      </c>
      <c r="B1323" s="26" t="s">
        <v>2323</v>
      </c>
      <c r="C1323" s="26" t="s">
        <v>4761</v>
      </c>
      <c r="D1323" s="288" t="s">
        <v>2941</v>
      </c>
      <c r="E1323" s="553" t="s">
        <v>6237</v>
      </c>
    </row>
    <row r="1324" spans="1:5">
      <c r="A1324" s="295" t="str">
        <f t="shared" si="23"/>
        <v>1: Always - 2:  Sometimes - 3: Never</v>
      </c>
      <c r="B1324" s="26" t="s">
        <v>134</v>
      </c>
      <c r="C1324" s="26" t="s">
        <v>2767</v>
      </c>
      <c r="D1324" s="288" t="s">
        <v>3124</v>
      </c>
      <c r="E1324" s="553" t="s">
        <v>6171</v>
      </c>
    </row>
    <row r="1325" spans="1:5" ht="82.8">
      <c r="A1325" s="295" t="str">
        <f t="shared" si="23"/>
        <v xml:space="preserve">When the primary plate has mixed colony types, is it standard practice to subculture each colony of interest to a fresh plate to ensure purity prior to pursuing identification? </v>
      </c>
      <c r="B1325" s="26" t="s">
        <v>2324</v>
      </c>
      <c r="C1325" s="362" t="s">
        <v>6238</v>
      </c>
      <c r="D1325" s="288" t="s">
        <v>4330</v>
      </c>
      <c r="E1325" s="553" t="s">
        <v>6239</v>
      </c>
    </row>
    <row r="1326" spans="1:5" ht="55.2">
      <c r="A1326" s="295" t="str">
        <f t="shared" si="23"/>
        <v>Is it standard practice to perform a Gram stain on each isolate of interest prior to performing any other testing?</v>
      </c>
      <c r="B1326" s="26" t="s">
        <v>7002</v>
      </c>
      <c r="C1326" s="26" t="s">
        <v>2776</v>
      </c>
      <c r="D1326" s="288" t="s">
        <v>3129</v>
      </c>
      <c r="E1326" s="553" t="s">
        <v>6240</v>
      </c>
    </row>
    <row r="1327" spans="1:5" ht="69">
      <c r="A1327" s="295" t="str">
        <f t="shared" si="23"/>
        <v>For gram-negative bacilli, is it standard practice to perform an oxidase test first, before proceeding with any other identification tests (including automated ID)?</v>
      </c>
      <c r="B1327" s="26" t="s">
        <v>7003</v>
      </c>
      <c r="C1327" s="26" t="s">
        <v>6241</v>
      </c>
      <c r="D1327" s="288" t="s">
        <v>4331</v>
      </c>
      <c r="E1327" s="553" t="s">
        <v>6242</v>
      </c>
    </row>
    <row r="1328" spans="1:5" ht="82.8">
      <c r="A1328" s="295" t="str">
        <f t="shared" si="23"/>
        <v>For gram-negative bacilli, is it standard practice to perform an indole test second, before proceeding with other identification tests (including automated ID)?</v>
      </c>
      <c r="B1328" s="26" t="s">
        <v>7004</v>
      </c>
      <c r="C1328" s="26" t="s">
        <v>6243</v>
      </c>
      <c r="D1328" s="288" t="s">
        <v>4332</v>
      </c>
      <c r="E1328" s="553" t="s">
        <v>6244</v>
      </c>
    </row>
    <row r="1329" spans="1:5" ht="69">
      <c r="A1329" s="295" t="str">
        <f t="shared" si="23"/>
        <v>For oxidase-negative gram-negative bacilli that do not ferment lactose (clear on MacConkey), are sufficient tests available to achieve a definitive identification?</v>
      </c>
      <c r="B1329" s="26" t="s">
        <v>7005</v>
      </c>
      <c r="C1329" s="26" t="s">
        <v>6245</v>
      </c>
      <c r="D1329" s="288" t="s">
        <v>4333</v>
      </c>
      <c r="E1329" s="553" t="s">
        <v>6246</v>
      </c>
    </row>
    <row r="1330" spans="1:5" ht="82.8">
      <c r="A1330" s="295" t="str">
        <f t="shared" si="23"/>
        <v>For oxidase-positive gram-negative bacilli that are not Pseudomonas aeruginosa (lack the characteristic appearance and odor), are sufficient tests available to achieve a definitive identification?</v>
      </c>
      <c r="B1330" s="26" t="s">
        <v>7009</v>
      </c>
      <c r="C1330" s="26" t="s">
        <v>2777</v>
      </c>
      <c r="D1330" s="288" t="s">
        <v>7015</v>
      </c>
      <c r="E1330" s="553" t="s">
        <v>7014</v>
      </c>
    </row>
    <row r="1331" spans="1:5" ht="69">
      <c r="A1331" s="295" t="str">
        <f t="shared" si="23"/>
        <v>For gram-positive cocci, is it standard practice to perform a catalase test first, before proceeding with any other identification tests (including automated ID)?</v>
      </c>
      <c r="B1331" s="26" t="s">
        <v>7006</v>
      </c>
      <c r="C1331" s="26" t="s">
        <v>7016</v>
      </c>
      <c r="D1331" s="288" t="s">
        <v>7013</v>
      </c>
      <c r="E1331" s="553" t="s">
        <v>7012</v>
      </c>
    </row>
    <row r="1332" spans="1:5" ht="82.8">
      <c r="A1332" s="295" t="str">
        <f t="shared" si="23"/>
        <v>For catalase-positive gram-positive cocci, is it standard practice to perform a coagulase test next, before proceeding with other identification tests (including automated ID)?</v>
      </c>
      <c r="B1332" s="26" t="s">
        <v>7007</v>
      </c>
      <c r="C1332" s="26" t="s">
        <v>7017</v>
      </c>
      <c r="D1332" s="288" t="s">
        <v>7010</v>
      </c>
      <c r="E1332" s="553" t="s">
        <v>7011</v>
      </c>
    </row>
    <row r="1333" spans="1:5" ht="82.8">
      <c r="A1333" s="295" t="str">
        <f t="shared" si="23"/>
        <v>For catalase-negative gram-positive cocci, is it standard practice to evaluate the type of hemolysis (alpha, beta, gamma), before proceeding with other identification tests (including automated ID)?</v>
      </c>
      <c r="B1333" s="26" t="s">
        <v>7008</v>
      </c>
      <c r="C1333" s="26" t="s">
        <v>7018</v>
      </c>
      <c r="D1333" s="288" t="s">
        <v>7019</v>
      </c>
      <c r="E1333" s="553" t="s">
        <v>7020</v>
      </c>
    </row>
    <row r="1334" spans="1:5" ht="27.6">
      <c r="A1334" s="295" t="str">
        <f t="shared" si="23"/>
        <v>Fully implemented*, up-to-date SOP is in place</v>
      </c>
      <c r="B1334" s="26" t="s">
        <v>2129</v>
      </c>
      <c r="C1334" s="26" t="s">
        <v>6247</v>
      </c>
      <c r="D1334" s="170" t="s">
        <v>4334</v>
      </c>
      <c r="E1334" s="553" t="s">
        <v>6248</v>
      </c>
    </row>
    <row r="1335" spans="1:5" ht="27.6">
      <c r="A1335" s="295" t="str">
        <f t="shared" si="23"/>
        <v>SOP is readily available** to bench staff</v>
      </c>
      <c r="B1335" s="26" t="s">
        <v>2099</v>
      </c>
      <c r="C1335" s="26" t="s">
        <v>5095</v>
      </c>
      <c r="D1335" s="288" t="s">
        <v>4335</v>
      </c>
      <c r="E1335" s="553" t="s">
        <v>6249</v>
      </c>
    </row>
    <row r="1336" spans="1:5" ht="41.4">
      <c r="A1336" s="295" t="str">
        <f t="shared" si="23"/>
        <v>SOP defines QC organisms, frequency, and expected results</v>
      </c>
      <c r="B1336" s="26" t="s">
        <v>2100</v>
      </c>
      <c r="C1336" s="26" t="s">
        <v>6250</v>
      </c>
      <c r="D1336" s="288" t="s">
        <v>4336</v>
      </c>
      <c r="E1336" s="553" t="s">
        <v>6251</v>
      </c>
    </row>
    <row r="1337" spans="1:5" ht="27.6">
      <c r="A1337" s="295" t="str">
        <f t="shared" si="23"/>
        <v>SOP provides stepwise instructions for test performance</v>
      </c>
      <c r="B1337" s="26" t="s">
        <v>2101</v>
      </c>
      <c r="C1337" s="26" t="s">
        <v>6252</v>
      </c>
      <c r="D1337" s="170" t="s">
        <v>4337</v>
      </c>
      <c r="E1337" s="553" t="s">
        <v>6253</v>
      </c>
    </row>
    <row r="1338" spans="1:5" ht="41.4">
      <c r="A1338" s="295" t="str">
        <f t="shared" si="23"/>
        <v>SOP provides stepwise instructions for test interpretation</v>
      </c>
      <c r="B1338" s="26" t="s">
        <v>2102</v>
      </c>
      <c r="C1338" s="26" t="s">
        <v>6254</v>
      </c>
      <c r="D1338" s="288" t="s">
        <v>4338</v>
      </c>
      <c r="E1338" s="553" t="s">
        <v>5102</v>
      </c>
    </row>
    <row r="1339" spans="1:5" ht="27.6">
      <c r="A1339" s="295" t="str">
        <f t="shared" si="23"/>
        <v>11- ANTIMICROBIAL SUSCEPTIBILITY TESTING (AST) BASICS</v>
      </c>
      <c r="B1339" s="26" t="s">
        <v>912</v>
      </c>
      <c r="C1339" s="26" t="s">
        <v>6255</v>
      </c>
      <c r="D1339" s="170" t="s">
        <v>4339</v>
      </c>
      <c r="E1339" s="553" t="s">
        <v>6256</v>
      </c>
    </row>
    <row r="1340" spans="1:5" ht="55.2">
      <c r="A1340" s="295" t="str">
        <f t="shared" si="23"/>
        <v>Please note: all questions refer only to clinical patient isolates, NOT to research or environmental isolates</v>
      </c>
      <c r="B1340" s="26" t="s">
        <v>2126</v>
      </c>
      <c r="C1340" s="26" t="s">
        <v>2764</v>
      </c>
      <c r="D1340" s="288" t="s">
        <v>4288</v>
      </c>
      <c r="E1340" s="553" t="s">
        <v>6257</v>
      </c>
    </row>
    <row r="1341" spans="1:5" ht="41.4">
      <c r="A1341" s="295" t="str">
        <f t="shared" si="23"/>
        <v>ANTIBIOTIC DISK AND GRADIENT STRIPS MAINTENANCE</v>
      </c>
      <c r="B1341" s="26" t="s">
        <v>660</v>
      </c>
      <c r="C1341" s="26" t="s">
        <v>6258</v>
      </c>
      <c r="D1341" s="170" t="s">
        <v>4340</v>
      </c>
      <c r="E1341" s="553" t="s">
        <v>6259</v>
      </c>
    </row>
    <row r="1342" spans="1:5" ht="82.8">
      <c r="A1342" s="295" t="str">
        <f t="shared" si="23"/>
        <v>Do the antibiotic disks and strips come with a certificate of analysis from the manufacturer ensuring that they were tested and performed according to ISO quality standards?</v>
      </c>
      <c r="B1342" s="26" t="s">
        <v>135</v>
      </c>
      <c r="C1342" s="26" t="s">
        <v>2782</v>
      </c>
      <c r="D1342" s="288" t="s">
        <v>4341</v>
      </c>
      <c r="E1342" s="553" t="s">
        <v>6260</v>
      </c>
    </row>
    <row r="1343" spans="1:5" ht="69">
      <c r="A1343" s="295" t="str">
        <f t="shared" si="23"/>
        <v>Are the packages not currently in use stored unopened and in their original packaging in order to prevent moisture ingress?</v>
      </c>
      <c r="B1343" s="26" t="s">
        <v>136</v>
      </c>
      <c r="C1343" s="26" t="s">
        <v>6261</v>
      </c>
      <c r="D1343" s="288" t="s">
        <v>4342</v>
      </c>
      <c r="E1343" s="553" t="s">
        <v>6262</v>
      </c>
    </row>
    <row r="1344" spans="1:5" ht="55.2">
      <c r="A1344" s="295" t="str">
        <f t="shared" si="23"/>
        <v>Are unopened antibiotic disks and strips stored in a non-defrosting freezer?</v>
      </c>
      <c r="B1344" s="26" t="s">
        <v>137</v>
      </c>
      <c r="C1344" s="26" t="s">
        <v>2783</v>
      </c>
      <c r="D1344" s="170" t="s">
        <v>4343</v>
      </c>
      <c r="E1344" s="553" t="s">
        <v>6263</v>
      </c>
    </row>
    <row r="1345" spans="1:5" ht="41.4">
      <c r="A1345" s="295" t="str">
        <f t="shared" ref="A1345:A1408" si="24">IF(langue=1,B1345,IF(langue=2,C1345,IF(langue=3,D1345,IF(langue=4,E1345,F1345))))</f>
        <v>If the antibiotic disk cartridge has a cap, is the cap replaced each time the cartridge is opened?</v>
      </c>
      <c r="B1345" s="26" t="s">
        <v>1954</v>
      </c>
      <c r="C1345" s="26" t="s">
        <v>6264</v>
      </c>
      <c r="D1345" s="288" t="s">
        <v>4344</v>
      </c>
      <c r="E1345" s="553" t="s">
        <v>6265</v>
      </c>
    </row>
    <row r="1346" spans="1:5" ht="138">
      <c r="A1346" s="295" t="str">
        <f t="shared" si="24"/>
        <v>Once opened, are in-use antibiotic disks stored in such a way that the lot number and expiration date of each disk is always traceable? (When individual disks are removed and transferred to secondary containers, lot numbers may become mixed and expired disks may inadvertently be used.)</v>
      </c>
      <c r="B1346" s="26" t="s">
        <v>1955</v>
      </c>
      <c r="C1346" s="26" t="s">
        <v>6266</v>
      </c>
      <c r="D1346" s="288" t="s">
        <v>4345</v>
      </c>
      <c r="E1346" s="553" t="s">
        <v>6267</v>
      </c>
    </row>
    <row r="1347" spans="1:5" ht="55.2">
      <c r="A1347" s="295" t="str">
        <f t="shared" si="24"/>
        <v xml:space="preserve">Are the in-use antibiotic disks and strips stored in a tightly sealed container with active desiccants? </v>
      </c>
      <c r="B1347" s="26" t="s">
        <v>2778</v>
      </c>
      <c r="C1347" s="26" t="s">
        <v>2784</v>
      </c>
      <c r="D1347" s="288" t="s">
        <v>4346</v>
      </c>
      <c r="E1347" s="553" t="s">
        <v>6268</v>
      </c>
    </row>
    <row r="1348" spans="1:5" ht="55.2">
      <c r="A1348" s="295" t="str">
        <f t="shared" si="24"/>
        <v>Do the desiccants change color as moisture levels increase (indicating the need to replace or recharge)?</v>
      </c>
      <c r="B1348" s="26" t="s">
        <v>138</v>
      </c>
      <c r="C1348" s="26" t="s">
        <v>4762</v>
      </c>
      <c r="D1348" s="288" t="s">
        <v>3130</v>
      </c>
      <c r="E1348" s="553" t="s">
        <v>6269</v>
      </c>
    </row>
    <row r="1349" spans="1:5" ht="55.2">
      <c r="A1349" s="295" t="str">
        <f t="shared" si="24"/>
        <v xml:space="preserve">If desiccants do not have a color indicator, are colorless desiccants replaced at least monthly? </v>
      </c>
      <c r="B1349" s="26" t="s">
        <v>7021</v>
      </c>
      <c r="C1349" s="26" t="s">
        <v>2785</v>
      </c>
      <c r="D1349" s="288" t="s">
        <v>4347</v>
      </c>
      <c r="E1349" s="553" t="s">
        <v>6270</v>
      </c>
    </row>
    <row r="1350" spans="1:5" ht="69">
      <c r="A1350" s="295" t="str">
        <f t="shared" si="24"/>
        <v>Are the containers holding open antibiotic disks/strips stored in a refrigerator or non-defrosting freezer when not in use?</v>
      </c>
      <c r="B1350" s="26" t="s">
        <v>139</v>
      </c>
      <c r="C1350" s="26" t="s">
        <v>2786</v>
      </c>
      <c r="D1350" s="288" t="s">
        <v>4348</v>
      </c>
      <c r="E1350" s="553" t="s">
        <v>6271</v>
      </c>
    </row>
    <row r="1351" spans="1:5" ht="82.8">
      <c r="A1351" s="295" t="str">
        <f t="shared" si="24"/>
        <v>Are the containers holding open antibiotic disks/strips allowed to equilibrate to room temperature before opening to minimize condensation (typically 1 hour)</v>
      </c>
      <c r="B1351" s="26" t="s">
        <v>2081</v>
      </c>
      <c r="C1351" s="26" t="s">
        <v>6272</v>
      </c>
      <c r="D1351" s="170" t="s">
        <v>4349</v>
      </c>
      <c r="E1351" s="553" t="s">
        <v>6273</v>
      </c>
    </row>
    <row r="1352" spans="1:5">
      <c r="A1352" s="295" t="str">
        <f t="shared" si="24"/>
        <v>INOCULUM PREPARATION</v>
      </c>
      <c r="B1352" s="26" t="s">
        <v>659</v>
      </c>
      <c r="C1352" s="26" t="s">
        <v>4763</v>
      </c>
      <c r="D1352" s="288" t="s">
        <v>3756</v>
      </c>
      <c r="E1352" s="553" t="s">
        <v>6274</v>
      </c>
    </row>
    <row r="1353" spans="1:5" ht="55.2">
      <c r="A1353" s="295" t="str">
        <f t="shared" si="24"/>
        <v>When preparing an inoculum using the colony suspension method, are colonies less than 18 hours old ever used?</v>
      </c>
      <c r="B1353" s="26" t="s">
        <v>2379</v>
      </c>
      <c r="C1353" s="26" t="s">
        <v>2787</v>
      </c>
      <c r="D1353" s="288" t="s">
        <v>3131</v>
      </c>
      <c r="E1353" s="553" t="s">
        <v>6275</v>
      </c>
    </row>
    <row r="1354" spans="1:5" ht="55.2">
      <c r="A1354" s="295" t="str">
        <f t="shared" si="24"/>
        <v>When preparing an inoculum using the colony suspension method, are colonies more than 24 hours old ever used?</v>
      </c>
      <c r="B1354" s="26" t="s">
        <v>2380</v>
      </c>
      <c r="C1354" s="26" t="s">
        <v>2788</v>
      </c>
      <c r="D1354" s="288" t="s">
        <v>4350</v>
      </c>
      <c r="E1354" s="553" t="s">
        <v>6276</v>
      </c>
    </row>
    <row r="1355" spans="1:5" ht="69">
      <c r="A1355" s="295" t="str">
        <f t="shared" si="24"/>
        <v xml:space="preserve">Observe an AST inoculum preparation. Do technologists use only individual, well-isolated colonies of the same morphological type? </v>
      </c>
      <c r="B1355" s="26" t="s">
        <v>140</v>
      </c>
      <c r="C1355" s="26" t="s">
        <v>6277</v>
      </c>
      <c r="D1355" s="288" t="s">
        <v>4351</v>
      </c>
      <c r="E1355" s="553" t="s">
        <v>6278</v>
      </c>
    </row>
    <row r="1356" spans="1:5" ht="55.2">
      <c r="A1356" s="295" t="str">
        <f t="shared" si="24"/>
        <v>Are colonies taken only from non-selective media, such as blood agar  ( MacConkey agar is acceptable)</v>
      </c>
      <c r="B1356" s="26" t="s">
        <v>141</v>
      </c>
      <c r="C1356" s="26" t="s">
        <v>2789</v>
      </c>
      <c r="D1356" s="288" t="s">
        <v>4352</v>
      </c>
      <c r="E1356" s="553" t="s">
        <v>6279</v>
      </c>
    </row>
    <row r="1357" spans="1:5" ht="55.2">
      <c r="A1357" s="295" t="str">
        <f t="shared" si="24"/>
        <v>Does the lab ever intentionally mix two different organisms in the same inoculum for AST?</v>
      </c>
      <c r="B1357" s="26" t="s">
        <v>142</v>
      </c>
      <c r="C1357" s="26" t="s">
        <v>4764</v>
      </c>
      <c r="D1357" s="288" t="s">
        <v>4353</v>
      </c>
      <c r="E1357" s="553" t="s">
        <v>6280</v>
      </c>
    </row>
    <row r="1358" spans="1:5" ht="27.6">
      <c r="A1358" s="295" t="str">
        <f t="shared" si="24"/>
        <v>Is an appropriate, sterile inoculation medium (TSB or saline) used?</v>
      </c>
      <c r="B1358" s="26" t="s">
        <v>143</v>
      </c>
      <c r="C1358" s="26" t="s">
        <v>2790</v>
      </c>
      <c r="D1358" s="288" t="s">
        <v>3132</v>
      </c>
      <c r="E1358" s="553" t="s">
        <v>6281</v>
      </c>
    </row>
    <row r="1359" spans="1:5" ht="69">
      <c r="A1359" s="295" t="str">
        <f t="shared" si="24"/>
        <v>Do records indicate that the saline solution is tested for sterility on a regular basis? (Preferably at least weekly)</v>
      </c>
      <c r="B1359" s="26" t="s">
        <v>2082</v>
      </c>
      <c r="C1359" s="26" t="s">
        <v>6282</v>
      </c>
      <c r="D1359" s="288" t="s">
        <v>4354</v>
      </c>
      <c r="E1359" s="553" t="s">
        <v>6283</v>
      </c>
    </row>
    <row r="1360" spans="1:5" ht="41.4">
      <c r="A1360" s="295" t="str">
        <f t="shared" si="24"/>
        <v>Is the inoculum brought to a density equivalent to 0.5 McFarland?</v>
      </c>
      <c r="B1360" s="26" t="s">
        <v>144</v>
      </c>
      <c r="C1360" s="26" t="s">
        <v>6284</v>
      </c>
      <c r="D1360" s="288" t="s">
        <v>4355</v>
      </c>
      <c r="E1360" s="553" t="s">
        <v>6285</v>
      </c>
    </row>
    <row r="1361" spans="1:5" ht="27.6">
      <c r="A1361" s="295" t="str">
        <f t="shared" si="24"/>
        <v>How is the inoculum density checked for accuracy?</v>
      </c>
      <c r="B1361" s="26" t="s">
        <v>653</v>
      </c>
      <c r="C1361" s="26" t="s">
        <v>6286</v>
      </c>
      <c r="D1361" s="288" t="s">
        <v>4356</v>
      </c>
      <c r="E1361" s="553" t="s">
        <v>6287</v>
      </c>
    </row>
    <row r="1362" spans="1:5" ht="69">
      <c r="A1362" s="295" t="str">
        <f t="shared" si="24"/>
        <v>1: Calibrated densitometer/turbidity meter - 2: Visual comparison to a 0.5 McFarland standard that is not expired (check date) - 3 : Neither of the above</v>
      </c>
      <c r="B1362" s="26" t="s">
        <v>145</v>
      </c>
      <c r="C1362" s="26" t="s">
        <v>6288</v>
      </c>
      <c r="D1362" s="288" t="s">
        <v>4357</v>
      </c>
      <c r="E1362" s="553" t="s">
        <v>6289</v>
      </c>
    </row>
    <row r="1363" spans="1:5">
      <c r="A1363" s="295" t="str">
        <f t="shared" si="24"/>
        <v>INOCULATION/INCUBATION</v>
      </c>
      <c r="B1363" s="26" t="s">
        <v>658</v>
      </c>
      <c r="C1363" s="26" t="s">
        <v>2460</v>
      </c>
      <c r="D1363" s="288" t="s">
        <v>2942</v>
      </c>
      <c r="E1363" s="553" t="s">
        <v>6290</v>
      </c>
    </row>
    <row r="1364" spans="1:5" ht="41.4">
      <c r="A1364" s="295" t="str">
        <f t="shared" si="24"/>
        <v>Does the lab ever use agar other than Mueller Hinton for AST of non-fastidious organisms?</v>
      </c>
      <c r="B1364" s="26" t="s">
        <v>146</v>
      </c>
      <c r="C1364" s="26" t="s">
        <v>6291</v>
      </c>
      <c r="D1364" s="288" t="s">
        <v>4358</v>
      </c>
      <c r="E1364" s="553" t="s">
        <v>6292</v>
      </c>
    </row>
    <row r="1365" spans="1:5" ht="55.2">
      <c r="A1365" s="295" t="str">
        <f t="shared" si="24"/>
        <v>Does the lab ever use agar other than Mueller Hinton with Blood for AST of Streptococcus pneumoniae?</v>
      </c>
      <c r="B1365" s="26" t="s">
        <v>7022</v>
      </c>
      <c r="C1365" s="26" t="s">
        <v>7023</v>
      </c>
      <c r="D1365" s="288" t="s">
        <v>7024</v>
      </c>
      <c r="E1365" s="553" t="s">
        <v>7025</v>
      </c>
    </row>
    <row r="1366" spans="1:5" ht="27.6">
      <c r="A1366" s="295" t="str">
        <f t="shared" si="24"/>
        <v>Observe a MH plate being inoculated.</v>
      </c>
      <c r="B1366" s="26" t="s">
        <v>148</v>
      </c>
      <c r="C1366" s="26" t="s">
        <v>6293</v>
      </c>
      <c r="D1366" s="288" t="s">
        <v>4359</v>
      </c>
      <c r="E1366" s="553" t="s">
        <v>6294</v>
      </c>
    </row>
    <row r="1367" spans="1:5" ht="41.4">
      <c r="A1367" s="295" t="str">
        <f t="shared" si="24"/>
        <v>Is the inoculum always used within 15 minutes of preparation?</v>
      </c>
      <c r="B1367" s="26" t="s">
        <v>147</v>
      </c>
      <c r="C1367" s="26" t="s">
        <v>2791</v>
      </c>
      <c r="D1367" s="288" t="s">
        <v>4360</v>
      </c>
      <c r="E1367" s="553" t="s">
        <v>6295</v>
      </c>
    </row>
    <row r="1368" spans="1:5" ht="27.6">
      <c r="A1368" s="295" t="str">
        <f t="shared" si="24"/>
        <v>Is a sterile swab used to inoculate the plate?</v>
      </c>
      <c r="B1368" s="26" t="s">
        <v>2199</v>
      </c>
      <c r="C1368" s="26" t="s">
        <v>6296</v>
      </c>
      <c r="D1368" s="288" t="s">
        <v>3133</v>
      </c>
      <c r="E1368" s="553" t="s">
        <v>6297</v>
      </c>
    </row>
    <row r="1369" spans="1:5" ht="27.6">
      <c r="A1369" s="295" t="str">
        <f t="shared" si="24"/>
        <v xml:space="preserve">Is the inoculum spread in a way that will create an even lawn? </v>
      </c>
      <c r="B1369" s="26" t="s">
        <v>2200</v>
      </c>
      <c r="C1369" s="26" t="s">
        <v>6298</v>
      </c>
      <c r="D1369" s="288" t="s">
        <v>4361</v>
      </c>
      <c r="E1369" s="553" t="s">
        <v>6299</v>
      </c>
    </row>
    <row r="1370" spans="1:5" ht="96.6">
      <c r="A1370" s="295" t="str">
        <f t="shared" si="24"/>
        <v>To create an even lawn, streak a line from top to bottom, then spread left to right across that line from top to bottom. Rotate plate 60° and repeat from beginning; rotate plate another 60° and repeat again.</v>
      </c>
      <c r="B1370" s="26" t="s">
        <v>7157</v>
      </c>
      <c r="C1370" s="362" t="s">
        <v>7158</v>
      </c>
      <c r="D1370" s="288" t="s">
        <v>7159</v>
      </c>
      <c r="E1370" s="553" t="s">
        <v>7160</v>
      </c>
    </row>
    <row r="1371" spans="1:5" ht="82.8">
      <c r="A1371" s="295" t="str">
        <f t="shared" si="24"/>
        <v>Before applying disks/strips, are inoculated MH plates allowed to sit, lid-ajar, for 3 to no more than 15 minutes to allow for absorption of excess surface moisture?</v>
      </c>
      <c r="B1371" s="26" t="s">
        <v>149</v>
      </c>
      <c r="C1371" s="26" t="s">
        <v>6300</v>
      </c>
      <c r="D1371" s="288" t="s">
        <v>4362</v>
      </c>
      <c r="E1371" s="553" t="s">
        <v>6301</v>
      </c>
    </row>
    <row r="1372" spans="1:5" ht="41.4">
      <c r="A1372" s="295" t="str">
        <f t="shared" si="24"/>
        <v>Are disks/strips ever moved after being placed on the agar?</v>
      </c>
      <c r="B1372" s="26" t="s">
        <v>150</v>
      </c>
      <c r="C1372" s="26" t="s">
        <v>6302</v>
      </c>
      <c r="D1372" s="288" t="s">
        <v>3134</v>
      </c>
      <c r="E1372" s="553" t="s">
        <v>6303</v>
      </c>
    </row>
    <row r="1373" spans="1:5" ht="55.2">
      <c r="A1373" s="295" t="str">
        <f t="shared" si="24"/>
        <v>When using multi-disk dispensers, is the bottom of the dispenser disinfected between isolates?</v>
      </c>
      <c r="B1373" s="26" t="s">
        <v>7026</v>
      </c>
      <c r="C1373" s="26" t="s">
        <v>2792</v>
      </c>
      <c r="D1373" s="288" t="s">
        <v>4363</v>
      </c>
      <c r="E1373" s="553" t="s">
        <v>6304</v>
      </c>
    </row>
    <row r="1374" spans="1:5" ht="41.4">
      <c r="A1374" s="295" t="str">
        <f t="shared" si="24"/>
        <v>Are AST plates incubated within 15 minutes of placing disks/strips?</v>
      </c>
      <c r="B1374" s="26" t="s">
        <v>152</v>
      </c>
      <c r="C1374" s="26" t="s">
        <v>6305</v>
      </c>
      <c r="D1374" s="170" t="s">
        <v>4364</v>
      </c>
      <c r="E1374" s="553" t="s">
        <v>6306</v>
      </c>
    </row>
    <row r="1375" spans="1:5" ht="41.4">
      <c r="A1375" s="295" t="str">
        <f t="shared" si="24"/>
        <v>After AST inoculation, are “purity plates” made from the remaining suspension?</v>
      </c>
      <c r="B1375" s="26" t="s">
        <v>337</v>
      </c>
      <c r="C1375" s="26" t="s">
        <v>6307</v>
      </c>
      <c r="D1375" s="170" t="s">
        <v>4365</v>
      </c>
      <c r="E1375" s="553" t="s">
        <v>6308</v>
      </c>
    </row>
    <row r="1376" spans="1:5" ht="110.4">
      <c r="A1376" s="295" t="str">
        <f t="shared" si="24"/>
        <v>A purity plate is a light subculture of the inoculum that is made to ensure the inoculum was not mixed or contaminated; usually streaked like a urine to ensure visualization of individual colonies and checked for purity when reading AST results</v>
      </c>
      <c r="B1376" s="26" t="s">
        <v>338</v>
      </c>
      <c r="C1376" s="26" t="s">
        <v>6309</v>
      </c>
      <c r="D1376" s="288" t="s">
        <v>4366</v>
      </c>
      <c r="E1376" s="553" t="s">
        <v>6310</v>
      </c>
    </row>
    <row r="1377" spans="1:5" ht="41.4">
      <c r="A1377" s="295" t="str">
        <f t="shared" si="24"/>
        <v>Are AST plates for non-fastidious organisms ever incubated in CO2?</v>
      </c>
      <c r="B1377" s="26" t="s">
        <v>153</v>
      </c>
      <c r="C1377" s="26" t="s">
        <v>6311</v>
      </c>
      <c r="D1377" s="288" t="s">
        <v>4367</v>
      </c>
      <c r="E1377" s="553" t="s">
        <v>6312</v>
      </c>
    </row>
    <row r="1378" spans="1:5" ht="41.4">
      <c r="A1378" s="295" t="str">
        <f t="shared" si="24"/>
        <v>Are AST plates for S. pneumoniae incubated in 5% CO2?</v>
      </c>
      <c r="B1378" s="26" t="s">
        <v>154</v>
      </c>
      <c r="C1378" s="26" t="s">
        <v>6313</v>
      </c>
      <c r="D1378" s="170" t="s">
        <v>4368</v>
      </c>
      <c r="E1378" s="553" t="s">
        <v>6314</v>
      </c>
    </row>
    <row r="1379" spans="1:5" ht="41.4">
      <c r="A1379" s="295" t="str">
        <f t="shared" si="24"/>
        <v>Observe some currently incubating and/or recently read Mueller Hinton AST plates.</v>
      </c>
      <c r="B1379" s="26" t="s">
        <v>151</v>
      </c>
      <c r="C1379" s="26" t="s">
        <v>6315</v>
      </c>
      <c r="D1379" s="288" t="s">
        <v>4369</v>
      </c>
      <c r="E1379" s="553" t="s">
        <v>6316</v>
      </c>
    </row>
    <row r="1380" spans="1:5" ht="41.4">
      <c r="A1380" s="295" t="str">
        <f t="shared" si="24"/>
        <v>Are the lawns of growth confluent (no gaps or individual colonies showing)?</v>
      </c>
      <c r="B1380" s="26" t="s">
        <v>2201</v>
      </c>
      <c r="C1380" s="26" t="s">
        <v>6317</v>
      </c>
      <c r="D1380" s="170" t="s">
        <v>4370</v>
      </c>
      <c r="E1380" s="553" t="s">
        <v>6318</v>
      </c>
    </row>
    <row r="1381" spans="1:5" ht="27.6">
      <c r="A1381" s="295" t="str">
        <f t="shared" si="24"/>
        <v>Is there a maximum of 6 antibiotic disks per 100mm plate?</v>
      </c>
      <c r="B1381" s="26" t="s">
        <v>2203</v>
      </c>
      <c r="C1381" s="26" t="s">
        <v>2793</v>
      </c>
      <c r="D1381" s="288" t="s">
        <v>4371</v>
      </c>
      <c r="E1381" s="553" t="s">
        <v>6319</v>
      </c>
    </row>
    <row r="1382" spans="1:5" ht="27.6">
      <c r="A1382" s="295" t="str">
        <f t="shared" si="24"/>
        <v>Is there a maximum of 12 antibiotic disks per 150mm plate?</v>
      </c>
      <c r="B1382" s="26" t="s">
        <v>2204</v>
      </c>
      <c r="C1382" s="26" t="s">
        <v>2794</v>
      </c>
      <c r="D1382" s="288" t="s">
        <v>4372</v>
      </c>
      <c r="E1382" s="553" t="s">
        <v>6320</v>
      </c>
    </row>
    <row r="1383" spans="1:5" ht="69">
      <c r="A1383" s="295" t="str">
        <f t="shared" si="24"/>
        <v>Are disks spaced properly? (At least 24mm from center to center, no overlapping zones, not too close to edge, uniformly circular zones)</v>
      </c>
      <c r="B1383" s="26" t="s">
        <v>2202</v>
      </c>
      <c r="C1383" s="26" t="s">
        <v>2795</v>
      </c>
      <c r="D1383" s="288" t="s">
        <v>3135</v>
      </c>
      <c r="E1383" s="553" t="s">
        <v>6321</v>
      </c>
    </row>
    <row r="1384" spans="1:5">
      <c r="A1384" s="295" t="str">
        <f t="shared" si="24"/>
        <v>READING AST RESULTS</v>
      </c>
      <c r="B1384" s="26" t="s">
        <v>657</v>
      </c>
      <c r="C1384" s="26" t="s">
        <v>4765</v>
      </c>
      <c r="D1384" s="288" t="s">
        <v>4373</v>
      </c>
      <c r="E1384" s="553" t="s">
        <v>6322</v>
      </c>
    </row>
    <row r="1385" spans="1:5" ht="41.4">
      <c r="A1385" s="295" t="str">
        <f t="shared" si="24"/>
        <v>Are AST results ever read after less than 16 hours of incubation?</v>
      </c>
      <c r="B1385" s="26" t="s">
        <v>155</v>
      </c>
      <c r="C1385" s="26" t="s">
        <v>4766</v>
      </c>
      <c r="D1385" s="288" t="s">
        <v>4374</v>
      </c>
      <c r="E1385" s="553" t="s">
        <v>6323</v>
      </c>
    </row>
    <row r="1386" spans="1:5" ht="41.4">
      <c r="A1386" s="295" t="str">
        <f t="shared" si="24"/>
        <v>Are AST results ever read after more than 24 hours of incubation?</v>
      </c>
      <c r="B1386" s="26" t="s">
        <v>156</v>
      </c>
      <c r="C1386" s="26" t="s">
        <v>4767</v>
      </c>
      <c r="D1386" s="288" t="s">
        <v>4375</v>
      </c>
      <c r="E1386" s="553" t="s">
        <v>6324</v>
      </c>
    </row>
    <row r="1387" spans="1:5" ht="69">
      <c r="A1387" s="295" t="str">
        <f t="shared" si="24"/>
        <v>If individual colonies are apparent within the ellipsis or the zone of inhibition, does the lab repeat the test with a fresh subculture of a single colony from the original plate?</v>
      </c>
      <c r="B1387" s="26" t="s">
        <v>157</v>
      </c>
      <c r="C1387" s="362" t="s">
        <v>4768</v>
      </c>
      <c r="D1387" s="288" t="s">
        <v>4376</v>
      </c>
      <c r="E1387" s="553" t="s">
        <v>6325</v>
      </c>
    </row>
    <row r="1388" spans="1:5" ht="27.6">
      <c r="A1388" s="295" t="str">
        <f t="shared" si="24"/>
        <v>Observe a Mueller Hinton AST plate being read.</v>
      </c>
      <c r="B1388" s="26" t="s">
        <v>158</v>
      </c>
      <c r="C1388" s="26" t="s">
        <v>6326</v>
      </c>
      <c r="D1388" s="288" t="s">
        <v>4377</v>
      </c>
      <c r="E1388" s="553" t="s">
        <v>6327</v>
      </c>
    </row>
    <row r="1389" spans="1:5" ht="27.6">
      <c r="A1389" s="295" t="str">
        <f t="shared" si="24"/>
        <v>Is the plate held above a black, non-reflective background?</v>
      </c>
      <c r="B1389" s="26" t="s">
        <v>1956</v>
      </c>
      <c r="C1389" s="26" t="s">
        <v>6328</v>
      </c>
      <c r="D1389" s="170" t="s">
        <v>4378</v>
      </c>
      <c r="E1389" s="553" t="s">
        <v>6329</v>
      </c>
    </row>
    <row r="1390" spans="1:5" ht="27.6">
      <c r="A1390" s="295" t="str">
        <f t="shared" si="24"/>
        <v>Is the plate illuminated adequately with reflected light?</v>
      </c>
      <c r="B1390" s="26" t="s">
        <v>232</v>
      </c>
      <c r="C1390" s="26" t="s">
        <v>6330</v>
      </c>
      <c r="D1390" s="288" t="s">
        <v>3136</v>
      </c>
      <c r="E1390" s="553" t="s">
        <v>6331</v>
      </c>
    </row>
    <row r="1391" spans="1:5" ht="27.6">
      <c r="A1391" s="295" t="str">
        <f t="shared" si="24"/>
        <v>Is the plate inverted and zones measured from underneath?</v>
      </c>
      <c r="B1391" s="26" t="s">
        <v>1957</v>
      </c>
      <c r="C1391" s="26" t="s">
        <v>6332</v>
      </c>
      <c r="D1391" s="288" t="s">
        <v>4379</v>
      </c>
      <c r="E1391" s="553" t="s">
        <v>6333</v>
      </c>
    </row>
    <row r="1392" spans="1:5" ht="55.2">
      <c r="A1392" s="295" t="str">
        <f t="shared" si="24"/>
        <v>Is a ruler or a caliper with millimeter marks used to measure zone sizes ?</v>
      </c>
      <c r="B1392" s="26" t="s">
        <v>159</v>
      </c>
      <c r="C1392" s="26" t="s">
        <v>6334</v>
      </c>
      <c r="D1392" s="288" t="s">
        <v>4380</v>
      </c>
      <c r="E1392" s="553" t="s">
        <v>6335</v>
      </c>
    </row>
    <row r="1393" spans="1:5" ht="82.8">
      <c r="A1393" s="295" t="str">
        <f t="shared" si="24"/>
        <v>Does the lab possess a guidance document with photos describing how to measure zone sizes, such as the CLSI M02 or the EUCAST disk diffusion reading guides?</v>
      </c>
      <c r="B1393" s="26" t="s">
        <v>896</v>
      </c>
      <c r="C1393" s="26" t="s">
        <v>6336</v>
      </c>
      <c r="D1393" s="288" t="s">
        <v>4381</v>
      </c>
      <c r="E1393" s="553" t="s">
        <v>6337</v>
      </c>
    </row>
    <row r="1394" spans="1:5" ht="55.2">
      <c r="A1394" s="295" t="str">
        <f t="shared" si="24"/>
        <v xml:space="preserve">Does the lab possess a guidance document with photos describing how to measure gradient strip endpoints? </v>
      </c>
      <c r="B1394" s="26" t="s">
        <v>339</v>
      </c>
      <c r="C1394" s="26" t="s">
        <v>6338</v>
      </c>
      <c r="D1394" s="170" t="s">
        <v>4382</v>
      </c>
      <c r="E1394" s="553" t="s">
        <v>6339</v>
      </c>
    </row>
    <row r="1395" spans="1:5" ht="41.4">
      <c r="A1395" s="295" t="str">
        <f t="shared" si="24"/>
        <v>For example, http://www.ilexmedical.com/files/ETEST_RG.pdf</v>
      </c>
      <c r="B1395" s="26" t="s">
        <v>7027</v>
      </c>
      <c r="C1395" s="26" t="s">
        <v>2796</v>
      </c>
      <c r="D1395" s="288" t="s">
        <v>3137</v>
      </c>
      <c r="E1395" s="553" t="s">
        <v>6340</v>
      </c>
    </row>
    <row r="1396" spans="1:5" ht="82.8">
      <c r="A1396" s="295" t="str">
        <f t="shared" si="24"/>
        <v xml:space="preserve">Does the SOP or bench aide instruct that zone sizes and/or MIC endpoints for co-trimoxazole (SXT) are measured at 80% inhibition of growth, rather than 100%? </v>
      </c>
      <c r="B1396" s="26" t="s">
        <v>160</v>
      </c>
      <c r="C1396" s="26" t="s">
        <v>6341</v>
      </c>
      <c r="D1396" s="170" t="s">
        <v>6854</v>
      </c>
      <c r="E1396" s="553" t="s">
        <v>6342</v>
      </c>
    </row>
    <row r="1397" spans="1:5" ht="69">
      <c r="A1397" s="295" t="str">
        <f t="shared" si="24"/>
        <v>Does the SOP or bench aide instruct how to measure zones of inhibition and/or MIC endpoints when Proteus spp. swarming is present?</v>
      </c>
      <c r="B1397" s="26" t="s">
        <v>161</v>
      </c>
      <c r="C1397" s="26" t="s">
        <v>6343</v>
      </c>
      <c r="D1397" s="170" t="s">
        <v>6855</v>
      </c>
      <c r="E1397" s="553" t="s">
        <v>6344</v>
      </c>
    </row>
    <row r="1398" spans="1:5" ht="27.6">
      <c r="A1398" s="295" t="str">
        <f t="shared" si="24"/>
        <v>Is the automated AST instrument software up to date?</v>
      </c>
      <c r="B1398" s="26" t="s">
        <v>162</v>
      </c>
      <c r="C1398" s="26" t="s">
        <v>6345</v>
      </c>
      <c r="D1398" s="288" t="s">
        <v>4383</v>
      </c>
      <c r="E1398" s="553" t="s">
        <v>6346</v>
      </c>
    </row>
    <row r="1399" spans="1:5" ht="27.6">
      <c r="A1399" s="295" t="str">
        <f t="shared" si="24"/>
        <v>Answer NA if the lab does not use automated AST instrument</v>
      </c>
      <c r="B1399" s="26" t="s">
        <v>163</v>
      </c>
      <c r="C1399" s="26" t="s">
        <v>4769</v>
      </c>
      <c r="D1399" s="288" t="s">
        <v>4384</v>
      </c>
      <c r="E1399" s="553" t="s">
        <v>6347</v>
      </c>
    </row>
    <row r="1400" spans="1:5">
      <c r="A1400" s="295" t="str">
        <f t="shared" si="24"/>
        <v>INTERPRETING RESULTS</v>
      </c>
      <c r="B1400" s="26" t="s">
        <v>656</v>
      </c>
      <c r="C1400" s="26" t="s">
        <v>2461</v>
      </c>
      <c r="D1400" s="288" t="s">
        <v>3758</v>
      </c>
      <c r="E1400" s="553" t="s">
        <v>5121</v>
      </c>
    </row>
    <row r="1401" spans="1:5" ht="82.8">
      <c r="A1401" s="295" t="str">
        <f t="shared" si="24"/>
        <v>Is there evidence that appropriate actions are taken when the AST instrument software flags an AST result as questionable (such as checking for purity or repeating the test by another method)?</v>
      </c>
      <c r="B1401" s="26" t="s">
        <v>164</v>
      </c>
      <c r="C1401" s="26" t="s">
        <v>6348</v>
      </c>
      <c r="D1401" s="288" t="s">
        <v>4385</v>
      </c>
      <c r="E1401" s="553" t="s">
        <v>6349</v>
      </c>
    </row>
    <row r="1402" spans="1:5" ht="27.6">
      <c r="A1402" s="295" t="str">
        <f t="shared" si="24"/>
        <v>Answer NA if the lab does not use automated instrument</v>
      </c>
      <c r="B1402" s="26" t="s">
        <v>165</v>
      </c>
      <c r="C1402" s="26" t="s">
        <v>2797</v>
      </c>
      <c r="D1402" s="288" t="s">
        <v>3138</v>
      </c>
      <c r="E1402" s="553" t="s">
        <v>6347</v>
      </c>
    </row>
    <row r="1403" spans="1:5" ht="82.8">
      <c r="A1403" s="295" t="str">
        <f t="shared" si="24"/>
        <v>Is there evidence that microbiology staff have received adequate training to recognize intrinsic resistance patterns? (Check SOPs and training/competence assessment records )</v>
      </c>
      <c r="B1403" s="26" t="s">
        <v>7162</v>
      </c>
      <c r="C1403" s="26" t="s">
        <v>7163</v>
      </c>
      <c r="D1403" s="288" t="s">
        <v>7164</v>
      </c>
      <c r="E1403" s="553" t="s">
        <v>7165</v>
      </c>
    </row>
    <row r="1404" spans="1:5" ht="110.4">
      <c r="A1404" s="295" t="str">
        <f t="shared" si="24"/>
        <v>Note: Intrinsic resistance is defined as inherent or innate (not acquired) resistance which is reflected in the wild-type of all representatives of a species; e.g., Citrobacter spp. and Klebsiella spp. are intrinsically (naturally) resistant to ampicillin</v>
      </c>
      <c r="B1404" s="26" t="s">
        <v>319</v>
      </c>
      <c r="C1404" s="26" t="s">
        <v>6350</v>
      </c>
      <c r="D1404" s="170" t="s">
        <v>4386</v>
      </c>
      <c r="E1404" s="553" t="s">
        <v>6351</v>
      </c>
    </row>
    <row r="1405" spans="1:5" ht="27.6">
      <c r="A1405" s="295" t="str">
        <f t="shared" si="24"/>
        <v>(1: Yes - 2: Some, but would like additional training - 3: No)</v>
      </c>
      <c r="B1405" s="26" t="s">
        <v>7161</v>
      </c>
      <c r="C1405" s="26" t="s">
        <v>7168</v>
      </c>
      <c r="D1405" s="288" t="s">
        <v>7167</v>
      </c>
      <c r="E1405" s="553" t="s">
        <v>7166</v>
      </c>
    </row>
    <row r="1406" spans="1:5" ht="82.8">
      <c r="A1406" s="295" t="str">
        <f t="shared" si="24"/>
        <v>Do the AST SOPs or bench aides provide examples of intrinsic resistance patterns? (Such as those found in CLSI M100 Appendix B or EUCAST Expert Rules V3.1)</v>
      </c>
      <c r="B1406" s="26" t="s">
        <v>259</v>
      </c>
      <c r="C1406" s="26" t="s">
        <v>6353</v>
      </c>
      <c r="D1406" s="170" t="s">
        <v>6856</v>
      </c>
      <c r="E1406" s="553" t="s">
        <v>6354</v>
      </c>
    </row>
    <row r="1407" spans="1:5" ht="124.2">
      <c r="A1407" s="295" t="str">
        <f t="shared" si="24"/>
        <v>Is there evidence that microbiology staff have received adequate training to recognize unusual or unexpected AST results that might require investigation? (e.g. Klebsiella spp. S to ampicillin; Staphylococcus spp. I/R to vancomycin)</v>
      </c>
      <c r="B1407" s="26" t="s">
        <v>7029</v>
      </c>
      <c r="C1407" s="26" t="s">
        <v>7030</v>
      </c>
      <c r="D1407" s="288" t="s">
        <v>7031</v>
      </c>
      <c r="E1407" s="553" t="s">
        <v>7032</v>
      </c>
    </row>
    <row r="1408" spans="1:5" ht="41.4">
      <c r="A1408" s="295" t="str">
        <f t="shared" si="24"/>
        <v>Check SOPs and training/competence assessment records</v>
      </c>
      <c r="B1408" s="26" t="s">
        <v>7028</v>
      </c>
      <c r="C1408" s="26" t="s">
        <v>6352</v>
      </c>
      <c r="D1408" s="288" t="s">
        <v>4387</v>
      </c>
      <c r="E1408" s="553" t="s">
        <v>6355</v>
      </c>
    </row>
    <row r="1409" spans="1:5" ht="27.6">
      <c r="A1409" s="295" t="str">
        <f t="shared" ref="A1409:A1475" si="25">IF(langue=1,B1409,IF(langue=2,C1409,IF(langue=3,D1409,IF(langue=4,E1409,F1409))))</f>
        <v>1: Yes - 2: Some, but would like additional training - 3: No</v>
      </c>
      <c r="B1409" s="26" t="s">
        <v>293</v>
      </c>
      <c r="C1409" s="26" t="s">
        <v>2659</v>
      </c>
      <c r="D1409" s="288" t="s">
        <v>4096</v>
      </c>
      <c r="E1409" s="553" t="s">
        <v>5786</v>
      </c>
    </row>
    <row r="1410" spans="1:5" ht="82.8">
      <c r="A1410" s="295" t="str">
        <f t="shared" si="25"/>
        <v>Do the AST SOPs or bench aides define examples of unusual or unexpected AST results? (Such as those found in CLSI M100 Appendix A or EUCAST Expert Rules V3.1)</v>
      </c>
      <c r="B1410" s="26" t="s">
        <v>260</v>
      </c>
      <c r="C1410" s="26" t="s">
        <v>6356</v>
      </c>
      <c r="D1410" s="288" t="s">
        <v>6857</v>
      </c>
      <c r="E1410" s="553" t="s">
        <v>6357</v>
      </c>
    </row>
    <row r="1411" spans="1:5" ht="110.4">
      <c r="A1411" s="295" t="str">
        <f t="shared" si="25"/>
        <v xml:space="preserve">Do the AST SOPs or bench aides describe what actions to take when unusual or unexpected AST results are encountered (e.g., check purity, reconfirm organism ID, check relevant QC, repeat testing, notify supervisor)? </v>
      </c>
      <c r="B1411" s="26" t="s">
        <v>166</v>
      </c>
      <c r="C1411" s="26" t="s">
        <v>6358</v>
      </c>
      <c r="D1411" s="170" t="s">
        <v>6858</v>
      </c>
      <c r="E1411" s="553" t="s">
        <v>6359</v>
      </c>
    </row>
    <row r="1412" spans="1:5" ht="27.6">
      <c r="A1412" s="295" t="str">
        <f t="shared" si="25"/>
        <v xml:space="preserve">Is there evidence of such actions being taken? </v>
      </c>
      <c r="B1412" s="26" t="s">
        <v>66</v>
      </c>
      <c r="C1412" s="26" t="s">
        <v>2798</v>
      </c>
      <c r="D1412" s="288" t="s">
        <v>3139</v>
      </c>
      <c r="E1412" s="553" t="s">
        <v>6360</v>
      </c>
    </row>
    <row r="1413" spans="1:5" ht="55.2">
      <c r="A1413" s="295" t="str">
        <f t="shared" si="25"/>
        <v>Is the microbiology lead or supervisor informed when unusual AST results are identified?</v>
      </c>
      <c r="B1413" s="26" t="s">
        <v>67</v>
      </c>
      <c r="C1413" s="26" t="s">
        <v>6361</v>
      </c>
      <c r="D1413" s="288" t="s">
        <v>4388</v>
      </c>
      <c r="E1413" s="553" t="s">
        <v>6362</v>
      </c>
    </row>
    <row r="1414" spans="1:5" ht="69">
      <c r="A1414" s="295" t="str">
        <f t="shared" si="25"/>
        <v>Does a supervisor review all AST results for unusual findings before results are given to physicians ?</v>
      </c>
      <c r="B1414" s="26" t="s">
        <v>167</v>
      </c>
      <c r="C1414" s="26" t="s">
        <v>6363</v>
      </c>
      <c r="D1414" s="288" t="s">
        <v>4389</v>
      </c>
      <c r="E1414" s="553" t="s">
        <v>6364</v>
      </c>
    </row>
    <row r="1415" spans="1:5" ht="55.2">
      <c r="A1415" s="295" t="str">
        <f t="shared" si="25"/>
        <v>Is there evidence that the supervisor received appropriate training on how to recognize unusual AST findings?</v>
      </c>
      <c r="B1415" s="26" t="s">
        <v>7033</v>
      </c>
      <c r="C1415" s="26" t="s">
        <v>4770</v>
      </c>
      <c r="D1415" s="288" t="s">
        <v>4390</v>
      </c>
      <c r="E1415" s="553" t="s">
        <v>6365</v>
      </c>
    </row>
    <row r="1416" spans="1:5" ht="27.6">
      <c r="A1416" s="295" t="str">
        <f t="shared" si="25"/>
        <v>1: Yes - 2: Some, but would like additional training - 3: No</v>
      </c>
      <c r="B1416" s="26" t="s">
        <v>293</v>
      </c>
      <c r="C1416" s="26" t="s">
        <v>2659</v>
      </c>
      <c r="D1416" s="288" t="s">
        <v>4096</v>
      </c>
      <c r="E1416" s="553" t="s">
        <v>5786</v>
      </c>
    </row>
    <row r="1417" spans="1:5">
      <c r="A1417" s="295" t="str">
        <f t="shared" si="25"/>
        <v>BREAKPOINTS STANDARDS</v>
      </c>
      <c r="B1417" s="26" t="s">
        <v>654</v>
      </c>
      <c r="C1417" s="26" t="s">
        <v>6366</v>
      </c>
      <c r="D1417" s="170" t="s">
        <v>3759</v>
      </c>
      <c r="E1417" s="553" t="s">
        <v>5123</v>
      </c>
    </row>
    <row r="1418" spans="1:5" ht="27.6">
      <c r="A1418" s="295" t="str">
        <f t="shared" si="25"/>
        <v xml:space="preserve">Which AST breakpoint standard does the lab primarily use? </v>
      </c>
      <c r="B1418" s="26" t="s">
        <v>2780</v>
      </c>
      <c r="C1418" s="26" t="s">
        <v>6367</v>
      </c>
      <c r="D1418" s="170" t="s">
        <v>4391</v>
      </c>
      <c r="E1418" s="553" t="s">
        <v>6368</v>
      </c>
    </row>
    <row r="1419" spans="1:5" ht="41.4">
      <c r="A1419" s="295" t="str">
        <f t="shared" si="25"/>
        <v>1: CLSI - 2: EUCAST - 3: Other (please list in comments) - 4: None/mixed</v>
      </c>
      <c r="B1419" s="26" t="s">
        <v>652</v>
      </c>
      <c r="C1419" s="26" t="s">
        <v>2799</v>
      </c>
      <c r="D1419" s="288" t="s">
        <v>3140</v>
      </c>
      <c r="E1419" s="553" t="s">
        <v>6369</v>
      </c>
    </row>
    <row r="1420" spans="1:5" ht="41.4">
      <c r="A1420" s="295" t="str">
        <f t="shared" si="25"/>
        <v>Ask to see the lab’s most current hard copy of the standard. Is it less than 3 years old?</v>
      </c>
      <c r="B1420" s="26" t="s">
        <v>900</v>
      </c>
      <c r="C1420" s="26" t="s">
        <v>4771</v>
      </c>
      <c r="D1420" s="288" t="s">
        <v>3141</v>
      </c>
      <c r="E1420" s="553" t="s">
        <v>6370</v>
      </c>
    </row>
    <row r="1421" spans="1:5" ht="41.4">
      <c r="A1421" s="295" t="str">
        <f t="shared" si="25"/>
        <v>Does the lab obtain updates of the standard in use at least every 3 years?</v>
      </c>
      <c r="B1421" s="26" t="s">
        <v>901</v>
      </c>
      <c r="C1421" s="26" t="s">
        <v>2800</v>
      </c>
      <c r="D1421" s="288" t="s">
        <v>4392</v>
      </c>
      <c r="E1421" s="553" t="s">
        <v>6371</v>
      </c>
    </row>
    <row r="1422" spans="1:5" ht="82.8">
      <c r="A1422" s="295" t="str">
        <f t="shared" si="25"/>
        <v>Does the lab review important standards changes, e.g., breakpoint changes, with the relevant hospital committees (e.g. pharmacy and therapeutics, stewardship)?</v>
      </c>
      <c r="B1422" s="26" t="s">
        <v>7034</v>
      </c>
      <c r="C1422" s="26" t="s">
        <v>6372</v>
      </c>
      <c r="D1422" s="288" t="s">
        <v>4393</v>
      </c>
      <c r="E1422" s="553" t="s">
        <v>6373</v>
      </c>
    </row>
    <row r="1423" spans="1:5" ht="55.2">
      <c r="A1423" s="295" t="str">
        <f t="shared" si="25"/>
        <v xml:space="preserve">Is there internet in the lab to access free EUCAST PDFs or CLSI M100 online version? </v>
      </c>
      <c r="B1423" s="26" t="s">
        <v>899</v>
      </c>
      <c r="C1423" s="26" t="s">
        <v>2801</v>
      </c>
      <c r="D1423" s="288" t="s">
        <v>4394</v>
      </c>
      <c r="E1423" s="553" t="s">
        <v>6374</v>
      </c>
    </row>
    <row r="1424" spans="1:5" ht="27.6">
      <c r="A1424" s="295" t="str">
        <f t="shared" si="25"/>
        <v xml:space="preserve">http://www.eucast.org/ast_of_bacteria/guidance_documents/  </v>
      </c>
      <c r="B1424" s="26" t="s">
        <v>897</v>
      </c>
      <c r="C1424" s="26" t="s">
        <v>2802</v>
      </c>
      <c r="D1424" s="288" t="s">
        <v>2802</v>
      </c>
      <c r="E1424" s="553" t="s">
        <v>6375</v>
      </c>
    </row>
    <row r="1425" spans="1:5">
      <c r="A1425" s="295" t="str">
        <f t="shared" si="25"/>
        <v>http://clsi-m100.com/</v>
      </c>
      <c r="B1425" s="26" t="s">
        <v>898</v>
      </c>
      <c r="C1425" s="26" t="s">
        <v>898</v>
      </c>
      <c r="D1425" s="288" t="s">
        <v>898</v>
      </c>
      <c r="E1425" s="553" t="s">
        <v>898</v>
      </c>
    </row>
    <row r="1426" spans="1:5" ht="96.6">
      <c r="A1426" s="295" t="str">
        <f t="shared" si="25"/>
        <v>Is there evidence that microbiology staff have received adequate training on how to use the CLSI M100 or EUCAST documents effectively? (1: Yes - 2: Some, but would like additional training - 3: No)</v>
      </c>
      <c r="B1426" s="26" t="s">
        <v>2781</v>
      </c>
      <c r="C1426" s="26" t="s">
        <v>2803</v>
      </c>
      <c r="D1426" s="288" t="s">
        <v>4395</v>
      </c>
      <c r="E1426" s="553" t="s">
        <v>6376</v>
      </c>
    </row>
    <row r="1427" spans="1:5" ht="41.4">
      <c r="A1427" s="295" t="str">
        <f t="shared" si="25"/>
        <v>For the next 3 questions, answer NA if the lab does not use considered disks</v>
      </c>
      <c r="B1427" s="26" t="s">
        <v>655</v>
      </c>
      <c r="C1427" s="26" t="s">
        <v>2804</v>
      </c>
      <c r="D1427" s="170" t="s">
        <v>4396</v>
      </c>
      <c r="E1427" s="553" t="s">
        <v>6377</v>
      </c>
    </row>
    <row r="1428" spans="1:5" ht="96.6">
      <c r="A1428" s="295" t="str">
        <f t="shared" si="25"/>
        <v>Look at the cefotaxime disks currently in use. Does the drug concentration correspond correctly to the standard the lab uses? (CLSI breakpoints require 30µg disks, EUCAST breakpoints require 5µg disks).</v>
      </c>
      <c r="B1428" s="26" t="s">
        <v>6378</v>
      </c>
      <c r="C1428" s="26" t="s">
        <v>6379</v>
      </c>
      <c r="D1428" s="288" t="s">
        <v>6380</v>
      </c>
      <c r="E1428" s="553" t="s">
        <v>6381</v>
      </c>
    </row>
    <row r="1429" spans="1:5" ht="96.6">
      <c r="A1429" s="295" t="str">
        <f t="shared" si="25"/>
        <v>Look at the ceftazidime disks currently in use. Does the drug concentration correspond correctly to the standard in use? (CLSI breakpoints require 30µg disks, EUCAST breakpoints require 10µg)</v>
      </c>
      <c r="B1429" s="26" t="s">
        <v>6382</v>
      </c>
      <c r="C1429" s="26" t="s">
        <v>6383</v>
      </c>
      <c r="D1429" s="288" t="s">
        <v>6384</v>
      </c>
      <c r="E1429" s="553" t="s">
        <v>6385</v>
      </c>
    </row>
    <row r="1430" spans="1:5" ht="110.4">
      <c r="A1430" s="295" t="str">
        <f t="shared" si="25"/>
        <v>Look at the piperacillin-tazobactam disks currently in use. Does the drug concentration correspond correctly to the standard in use? (CLSI breakpoints require 100/10µg disks, EUCAST breakpoints require 30/6µg disks).</v>
      </c>
      <c r="B1430" s="26" t="s">
        <v>6386</v>
      </c>
      <c r="C1430" s="26" t="s">
        <v>6387</v>
      </c>
      <c r="D1430" s="288" t="s">
        <v>6388</v>
      </c>
      <c r="E1430" s="553" t="s">
        <v>6389</v>
      </c>
    </row>
    <row r="1431" spans="1:5">
      <c r="A1431" s="295" t="str">
        <f t="shared" si="25"/>
        <v>12- AST EXPERT RULES</v>
      </c>
      <c r="B1431" s="26" t="s">
        <v>921</v>
      </c>
      <c r="C1431" s="26" t="s">
        <v>6390</v>
      </c>
      <c r="D1431" s="170" t="s">
        <v>4397</v>
      </c>
      <c r="E1431" s="553" t="s">
        <v>6391</v>
      </c>
    </row>
    <row r="1432" spans="1:5" ht="55.2">
      <c r="A1432" s="295" t="str">
        <f t="shared" si="25"/>
        <v>Please note: all questions refer only to clinical patient isolates, NOT to research or environmental isolates</v>
      </c>
      <c r="B1432" s="26" t="s">
        <v>2126</v>
      </c>
      <c r="C1432" s="26" t="s">
        <v>2764</v>
      </c>
      <c r="D1432" s="288" t="s">
        <v>4288</v>
      </c>
      <c r="E1432" s="553" t="s">
        <v>6257</v>
      </c>
    </row>
    <row r="1433" spans="1:5" ht="27.6">
      <c r="A1433" s="295" t="str">
        <f t="shared" si="25"/>
        <v>EXPERT RULES FOR SALMONELLA</v>
      </c>
      <c r="B1433" s="26" t="s">
        <v>926</v>
      </c>
      <c r="C1433" s="26" t="s">
        <v>5126</v>
      </c>
      <c r="D1433" s="170" t="s">
        <v>3760</v>
      </c>
      <c r="E1433" s="553" t="s">
        <v>6392</v>
      </c>
    </row>
    <row r="1434" spans="1:5" ht="69">
      <c r="A1434" s="295" t="str">
        <f t="shared" si="25"/>
        <v xml:space="preserve">Review a patient AST report for a Salmonella or Shigella isolate. Were any of the following drug classes tested or reported? </v>
      </c>
      <c r="B1434" s="26" t="s">
        <v>2805</v>
      </c>
      <c r="C1434" s="26" t="s">
        <v>6393</v>
      </c>
      <c r="D1434" s="170" t="s">
        <v>4398</v>
      </c>
      <c r="E1434" s="553" t="s">
        <v>6394</v>
      </c>
    </row>
    <row r="1435" spans="1:5" ht="82.8">
      <c r="A1435" s="295" t="str">
        <f t="shared" si="25"/>
        <v>These drugs may appear active in vitro but are not effective clinically against Salmonella or Shigella and should not be reported as susceptible, regardless of the AST result.</v>
      </c>
      <c r="B1435" s="26" t="s">
        <v>7036</v>
      </c>
      <c r="C1435" s="26" t="s">
        <v>6395</v>
      </c>
      <c r="D1435" s="288" t="s">
        <v>4399</v>
      </c>
      <c r="E1435" s="553" t="s">
        <v>6396</v>
      </c>
    </row>
    <row r="1436" spans="1:5" ht="41.4">
      <c r="A1436" s="295" t="str">
        <f t="shared" si="25"/>
        <v>1st generation cephalosporins (cefazolin, cephalothin, cephapirin, cephadrine)</v>
      </c>
      <c r="B1436" s="26" t="s">
        <v>7035</v>
      </c>
      <c r="C1436" s="26" t="s">
        <v>7129</v>
      </c>
      <c r="D1436" s="288" t="s">
        <v>7130</v>
      </c>
      <c r="E1436" s="553" t="s">
        <v>7132</v>
      </c>
    </row>
    <row r="1437" spans="1:5" ht="27.6">
      <c r="A1437" s="295" t="str">
        <f t="shared" si="25"/>
        <v>2nd generation cephalosporins (cefuroxime, cefonicid, cefamandole)</v>
      </c>
      <c r="B1437" s="26" t="s">
        <v>183</v>
      </c>
      <c r="C1437" s="26" t="s">
        <v>2824</v>
      </c>
      <c r="D1437" s="288" t="s">
        <v>3142</v>
      </c>
      <c r="E1437" s="553" t="s">
        <v>6397</v>
      </c>
    </row>
    <row r="1438" spans="1:5">
      <c r="A1438" s="295" t="str">
        <f t="shared" si="25"/>
        <v>Cephamycins (cefoxitin, cefotetan)</v>
      </c>
      <c r="B1438" s="26" t="s">
        <v>184</v>
      </c>
      <c r="C1438" s="26" t="s">
        <v>2825</v>
      </c>
      <c r="D1438" s="288" t="s">
        <v>3143</v>
      </c>
      <c r="E1438" s="553" t="s">
        <v>3143</v>
      </c>
    </row>
    <row r="1439" spans="1:5" ht="27.6">
      <c r="A1439" s="295" t="str">
        <f t="shared" si="25"/>
        <v>Aminoglycosides (gentamicin, tobramycin, amikacin)</v>
      </c>
      <c r="B1439" s="26" t="s">
        <v>194</v>
      </c>
      <c r="C1439" s="26" t="s">
        <v>2826</v>
      </c>
      <c r="D1439" s="288" t="s">
        <v>3144</v>
      </c>
      <c r="E1439" s="553" t="s">
        <v>6398</v>
      </c>
    </row>
    <row r="1440" spans="1:5" ht="55.2">
      <c r="A1440" s="295" t="str">
        <f t="shared" si="25"/>
        <v>Does the lab use Nalidixic Acid to screen Salmonella isolates for ciprofloxacin resistance?</v>
      </c>
      <c r="B1440" s="26" t="s">
        <v>2806</v>
      </c>
      <c r="C1440" s="26" t="s">
        <v>6399</v>
      </c>
      <c r="D1440" s="170" t="s">
        <v>4400</v>
      </c>
      <c r="E1440" s="553" t="s">
        <v>6400</v>
      </c>
    </row>
    <row r="1441" spans="1:5" ht="82.8">
      <c r="A1441" s="295" t="str">
        <f t="shared" si="25"/>
        <v xml:space="preserve">Compare the lab’s AST bench aids and SOPs to the Salmonella table in the Assessor’s Guide. Does the lab use the correct fluoroquinolone (FQ) breakpoints for Salmonella spp? </v>
      </c>
      <c r="B1441" s="26" t="s">
        <v>6733</v>
      </c>
      <c r="C1441" s="26" t="s">
        <v>6734</v>
      </c>
      <c r="D1441" s="170" t="s">
        <v>6859</v>
      </c>
      <c r="E1441" s="553" t="s">
        <v>6735</v>
      </c>
    </row>
    <row r="1442" spans="1:5" ht="41.4">
      <c r="A1442" s="295" t="str">
        <f t="shared" si="25"/>
        <v>(Enterobacteriaceae FQ breakpoints should not be used for Salmonella spp).</v>
      </c>
      <c r="B1442" s="26" t="s">
        <v>6729</v>
      </c>
      <c r="C1442" s="26" t="s">
        <v>6730</v>
      </c>
      <c r="D1442" s="170" t="s">
        <v>6731</v>
      </c>
      <c r="E1442" s="553" t="s">
        <v>6732</v>
      </c>
    </row>
    <row r="1443" spans="1:5" ht="27.6">
      <c r="A1443" s="295" t="str">
        <f t="shared" si="25"/>
        <v>GRAM NEGATIVES &amp; BETA-LACTAM BREAKPOINTS</v>
      </c>
      <c r="B1443" s="26" t="s">
        <v>751</v>
      </c>
      <c r="C1443" s="26" t="s">
        <v>6401</v>
      </c>
      <c r="D1443" s="170" t="s">
        <v>4401</v>
      </c>
      <c r="E1443" s="553" t="s">
        <v>6402</v>
      </c>
    </row>
    <row r="1444" spans="1:5" ht="27.6">
      <c r="A1444" s="295" t="str">
        <f t="shared" si="25"/>
        <v>IMPORTANT! Please read the information below before proceeding:</v>
      </c>
      <c r="B1444" s="26" t="s">
        <v>6708</v>
      </c>
      <c r="C1444" s="398" t="s">
        <v>6760</v>
      </c>
      <c r="D1444" s="398" t="s">
        <v>6860</v>
      </c>
      <c r="E1444" s="555" t="s">
        <v>6840</v>
      </c>
    </row>
    <row r="1445" spans="1:5" ht="69">
      <c r="A1445" s="295" t="str">
        <f t="shared" si="25"/>
        <v xml:space="preserve">Beginning in 2009, CLSI and EUCAST lowered the breakpoints for several beta-lactam antibiotics and Aztreonam in order to enhance the detection of resistance. </v>
      </c>
      <c r="B1445" s="26" t="s">
        <v>1701</v>
      </c>
      <c r="C1445" s="26" t="s">
        <v>6403</v>
      </c>
      <c r="D1445" s="288" t="s">
        <v>4402</v>
      </c>
      <c r="E1445" s="553" t="s">
        <v>6404</v>
      </c>
    </row>
    <row r="1446" spans="1:5" ht="69">
      <c r="A1446" s="295" t="str">
        <f t="shared" si="25"/>
        <v>Even if a laboratory has current CLSI or EUCAST manuals, they may have failed to update their bench aids and SOPs to reflect current breakpoints.</v>
      </c>
      <c r="B1446" s="26" t="s">
        <v>6707</v>
      </c>
      <c r="C1446" s="401" t="s">
        <v>6797</v>
      </c>
      <c r="D1446" s="402" t="s">
        <v>6861</v>
      </c>
      <c r="E1446" s="555" t="s">
        <v>6841</v>
      </c>
    </row>
    <row r="1447" spans="1:5" ht="69">
      <c r="A1447" s="295" t="str">
        <f t="shared" si="25"/>
        <v>Since the bench aids and SOPs are used by technologists for AST interpretation, it is crucial that these are up to date as well.</v>
      </c>
      <c r="B1447" s="26" t="s">
        <v>6706</v>
      </c>
      <c r="C1447" s="402" t="s">
        <v>6798</v>
      </c>
      <c r="D1447" s="402" t="s">
        <v>6862</v>
      </c>
      <c r="E1447" s="555" t="s">
        <v>6842</v>
      </c>
    </row>
    <row r="1448" spans="1:5" ht="82.8">
      <c r="A1448" s="295" t="str">
        <f t="shared" si="25"/>
        <v xml:space="preserve">The Assessor’s Guide shows the current breakpoints for these antibiotics. Compare this table to the bench aids and SOPs the technologists use for zone size and MIC interpretation. </v>
      </c>
      <c r="B1448" s="26" t="s">
        <v>6709</v>
      </c>
      <c r="C1448" s="26" t="s">
        <v>6796</v>
      </c>
      <c r="D1448" s="288" t="s">
        <v>6863</v>
      </c>
      <c r="E1448" s="553" t="s">
        <v>6710</v>
      </c>
    </row>
    <row r="1449" spans="1:5" ht="55.2">
      <c r="A1449" s="295" t="str">
        <f t="shared" si="25"/>
        <v>Do the bench aids and SOPs have the current breakpoints for the following combinations?</v>
      </c>
      <c r="B1449" s="26" t="s">
        <v>6711</v>
      </c>
      <c r="C1449" s="402" t="s">
        <v>6799</v>
      </c>
      <c r="D1449" s="402" t="s">
        <v>6864</v>
      </c>
      <c r="E1449" s="555" t="s">
        <v>6843</v>
      </c>
    </row>
    <row r="1450" spans="1:5" ht="27.6">
      <c r="A1450" s="295" t="str">
        <f t="shared" si="25"/>
        <v>(Select NA if the antibiotic is not in use)</v>
      </c>
      <c r="B1450" s="26" t="s">
        <v>1959</v>
      </c>
      <c r="C1450" s="26" t="s">
        <v>2827</v>
      </c>
      <c r="D1450" s="288" t="s">
        <v>3145</v>
      </c>
      <c r="E1450" s="553" t="s">
        <v>6405</v>
      </c>
    </row>
    <row r="1451" spans="1:5">
      <c r="A1451" s="295" t="str">
        <f t="shared" si="25"/>
        <v>Enterobacteriaceae and Aztreonam</v>
      </c>
      <c r="B1451" s="26" t="s">
        <v>195</v>
      </c>
      <c r="C1451" s="26" t="s">
        <v>2828</v>
      </c>
      <c r="D1451" s="288" t="s">
        <v>3146</v>
      </c>
      <c r="E1451" s="553" t="s">
        <v>6406</v>
      </c>
    </row>
    <row r="1452" spans="1:5">
      <c r="A1452" s="295" t="str">
        <f t="shared" si="25"/>
        <v>Enterobacteriaceae and Cefotaxime</v>
      </c>
      <c r="B1452" s="26" t="s">
        <v>196</v>
      </c>
      <c r="C1452" s="26" t="s">
        <v>2829</v>
      </c>
      <c r="D1452" s="288" t="s">
        <v>3147</v>
      </c>
      <c r="E1452" s="553" t="s">
        <v>6407</v>
      </c>
    </row>
    <row r="1453" spans="1:5">
      <c r="A1453" s="295" t="str">
        <f t="shared" si="25"/>
        <v>Enterobacteriaceae and Ceftriaxone</v>
      </c>
      <c r="B1453" s="26" t="s">
        <v>197</v>
      </c>
      <c r="C1453" s="26" t="s">
        <v>2830</v>
      </c>
      <c r="D1453" s="288" t="s">
        <v>3148</v>
      </c>
      <c r="E1453" s="553" t="s">
        <v>6408</v>
      </c>
    </row>
    <row r="1454" spans="1:5">
      <c r="A1454" s="295" t="str">
        <f t="shared" si="25"/>
        <v>Enterobacteriaceae and Ceftazidime</v>
      </c>
      <c r="B1454" s="26" t="s">
        <v>198</v>
      </c>
      <c r="C1454" s="26" t="s">
        <v>2831</v>
      </c>
      <c r="D1454" s="288" t="s">
        <v>3149</v>
      </c>
      <c r="E1454" s="553" t="s">
        <v>6409</v>
      </c>
    </row>
    <row r="1455" spans="1:5">
      <c r="A1455" s="295" t="str">
        <f t="shared" si="25"/>
        <v>Enterobacteriaceae and Cefepime</v>
      </c>
      <c r="B1455" s="26" t="s">
        <v>199</v>
      </c>
      <c r="C1455" s="26" t="s">
        <v>2832</v>
      </c>
      <c r="D1455" s="288" t="s">
        <v>3150</v>
      </c>
      <c r="E1455" s="553" t="s">
        <v>6410</v>
      </c>
    </row>
    <row r="1456" spans="1:5">
      <c r="A1456" s="295" t="str">
        <f t="shared" si="25"/>
        <v>Enterobacteriaceae and Imipenem</v>
      </c>
      <c r="B1456" s="26" t="s">
        <v>200</v>
      </c>
      <c r="C1456" s="26" t="s">
        <v>6411</v>
      </c>
      <c r="D1456" s="288" t="s">
        <v>3151</v>
      </c>
      <c r="E1456" s="553" t="s">
        <v>3151</v>
      </c>
    </row>
    <row r="1457" spans="1:5">
      <c r="A1457" s="295" t="str">
        <f t="shared" si="25"/>
        <v>Enterobacteriaceae and Meropenem</v>
      </c>
      <c r="B1457" s="26" t="s">
        <v>201</v>
      </c>
      <c r="C1457" s="26" t="s">
        <v>6412</v>
      </c>
      <c r="D1457" s="288" t="s">
        <v>3152</v>
      </c>
      <c r="E1457" s="553" t="s">
        <v>6413</v>
      </c>
    </row>
    <row r="1458" spans="1:5">
      <c r="A1458" s="295" t="str">
        <f t="shared" si="25"/>
        <v>Enterobacteriaceae and Ertapenem</v>
      </c>
      <c r="B1458" s="26" t="s">
        <v>202</v>
      </c>
      <c r="C1458" s="26" t="s">
        <v>6414</v>
      </c>
      <c r="D1458" s="288" t="s">
        <v>3153</v>
      </c>
      <c r="E1458" s="553" t="s">
        <v>6415</v>
      </c>
    </row>
    <row r="1459" spans="1:5">
      <c r="A1459" s="295" t="str">
        <f t="shared" si="25"/>
        <v>Enterobacteriaceae and Doripenem</v>
      </c>
      <c r="B1459" s="26" t="s">
        <v>203</v>
      </c>
      <c r="C1459" s="26" t="s">
        <v>6416</v>
      </c>
      <c r="D1459" s="288" t="s">
        <v>3154</v>
      </c>
      <c r="E1459" s="553" t="s">
        <v>6417</v>
      </c>
    </row>
    <row r="1460" spans="1:5">
      <c r="A1460" s="295" t="str">
        <f t="shared" si="25"/>
        <v>Acinetobacter and Imipenem</v>
      </c>
      <c r="B1460" s="26" t="s">
        <v>204</v>
      </c>
      <c r="C1460" s="26" t="s">
        <v>6418</v>
      </c>
      <c r="D1460" s="288" t="s">
        <v>3155</v>
      </c>
      <c r="E1460" s="553" t="s">
        <v>3155</v>
      </c>
    </row>
    <row r="1461" spans="1:5">
      <c r="A1461" s="295" t="str">
        <f t="shared" si="25"/>
        <v>Acinetobacter and Meropenem</v>
      </c>
      <c r="B1461" s="26" t="s">
        <v>205</v>
      </c>
      <c r="C1461" s="26" t="s">
        <v>2833</v>
      </c>
      <c r="D1461" s="288" t="s">
        <v>3156</v>
      </c>
      <c r="E1461" s="553" t="s">
        <v>6419</v>
      </c>
    </row>
    <row r="1462" spans="1:5">
      <c r="A1462" s="295" t="str">
        <f t="shared" si="25"/>
        <v>Acinetobacter and Doripenem</v>
      </c>
      <c r="B1462" s="26" t="s">
        <v>206</v>
      </c>
      <c r="C1462" s="26" t="s">
        <v>6420</v>
      </c>
      <c r="D1462" s="288" t="s">
        <v>3157</v>
      </c>
      <c r="E1462" s="553" t="s">
        <v>6421</v>
      </c>
    </row>
    <row r="1463" spans="1:5">
      <c r="A1463" s="295" t="str">
        <f t="shared" si="25"/>
        <v>Pseudomonas and Cefepime</v>
      </c>
      <c r="B1463" s="26" t="s">
        <v>207</v>
      </c>
      <c r="C1463" s="26" t="s">
        <v>2834</v>
      </c>
      <c r="D1463" s="288" t="s">
        <v>3158</v>
      </c>
      <c r="E1463" s="553" t="s">
        <v>6422</v>
      </c>
    </row>
    <row r="1464" spans="1:5">
      <c r="A1464" s="295" t="str">
        <f t="shared" si="25"/>
        <v>Pseudomonas and Piperacillin</v>
      </c>
      <c r="B1464" s="26" t="s">
        <v>208</v>
      </c>
      <c r="C1464" s="26" t="s">
        <v>2835</v>
      </c>
      <c r="D1464" s="288" t="s">
        <v>3159</v>
      </c>
      <c r="E1464" s="553" t="s">
        <v>6423</v>
      </c>
    </row>
    <row r="1465" spans="1:5" ht="27.6">
      <c r="A1465" s="295" t="str">
        <f t="shared" si="25"/>
        <v>Pseudomonas and Piperacillin-Tazobactam</v>
      </c>
      <c r="B1465" s="26" t="s">
        <v>209</v>
      </c>
      <c r="C1465" s="26" t="s">
        <v>2836</v>
      </c>
      <c r="D1465" s="288" t="s">
        <v>3160</v>
      </c>
      <c r="E1465" s="553" t="s">
        <v>6424</v>
      </c>
    </row>
    <row r="1466" spans="1:5">
      <c r="A1466" s="295" t="str">
        <f t="shared" si="25"/>
        <v>Pseudomonas and Ticarcillin-Clavulanate</v>
      </c>
      <c r="B1466" s="26" t="s">
        <v>210</v>
      </c>
      <c r="C1466" s="26" t="s">
        <v>2837</v>
      </c>
      <c r="D1466" s="288" t="s">
        <v>3161</v>
      </c>
      <c r="E1466" s="553" t="s">
        <v>6425</v>
      </c>
    </row>
    <row r="1467" spans="1:5">
      <c r="A1467" s="295" t="str">
        <f t="shared" si="25"/>
        <v>Pseudomonas and Imipenem</v>
      </c>
      <c r="B1467" s="26" t="s">
        <v>211</v>
      </c>
      <c r="C1467" s="26" t="s">
        <v>6426</v>
      </c>
      <c r="D1467" s="288" t="s">
        <v>3162</v>
      </c>
      <c r="E1467" s="553" t="s">
        <v>3162</v>
      </c>
    </row>
    <row r="1468" spans="1:5">
      <c r="A1468" s="295" t="str">
        <f t="shared" si="25"/>
        <v>Pseudomonas and Meropenem</v>
      </c>
      <c r="B1468" s="26" t="s">
        <v>212</v>
      </c>
      <c r="C1468" s="26" t="s">
        <v>6427</v>
      </c>
      <c r="D1468" s="288" t="s">
        <v>3163</v>
      </c>
      <c r="E1468" s="553" t="s">
        <v>6428</v>
      </c>
    </row>
    <row r="1469" spans="1:5">
      <c r="A1469" s="295" t="str">
        <f t="shared" si="25"/>
        <v>Pseudomonas and Doripenem</v>
      </c>
      <c r="B1469" s="26" t="s">
        <v>261</v>
      </c>
      <c r="C1469" s="26" t="s">
        <v>6429</v>
      </c>
      <c r="D1469" s="288" t="s">
        <v>3164</v>
      </c>
      <c r="E1469" s="553" t="s">
        <v>6430</v>
      </c>
    </row>
    <row r="1470" spans="1:5" ht="27.6">
      <c r="A1470" s="295" t="str">
        <f t="shared" si="25"/>
        <v>PHENOTYPIC ESBL TESTING</v>
      </c>
      <c r="B1470" s="26" t="s">
        <v>664</v>
      </c>
      <c r="C1470" s="26" t="s">
        <v>6431</v>
      </c>
      <c r="D1470" s="170" t="s">
        <v>4403</v>
      </c>
      <c r="E1470" s="553" t="s">
        <v>6432</v>
      </c>
    </row>
    <row r="1471" spans="1:5" ht="96.6">
      <c r="A1471" s="295" t="str">
        <f t="shared" si="25"/>
        <v>NOTE: Questions 12.26 and 12.27 only apply to labs that do NOT use current cephalosporin and aztreonam breakpoints. If this lab uses current breakpoints, select NA for both questions and skip to question 12.28</v>
      </c>
      <c r="B1471" s="26" t="s">
        <v>1960</v>
      </c>
      <c r="C1471" s="26" t="s">
        <v>6433</v>
      </c>
      <c r="D1471" s="288" t="s">
        <v>4404</v>
      </c>
      <c r="E1471" s="553" t="s">
        <v>6434</v>
      </c>
    </row>
    <row r="1472" spans="1:5" ht="138">
      <c r="A1472" s="295" t="str">
        <f t="shared" si="25"/>
        <v>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v>
      </c>
      <c r="B1472" s="26" t="s">
        <v>1551</v>
      </c>
      <c r="C1472" s="26" t="s">
        <v>6435</v>
      </c>
      <c r="D1472" s="170" t="s">
        <v>4405</v>
      </c>
      <c r="E1472" s="553" t="s">
        <v>6436</v>
      </c>
    </row>
    <row r="1473" spans="1:5" ht="151.80000000000001">
      <c r="A1473" s="295" t="str">
        <f t="shared" si="25"/>
        <v>Labs that do NOT use current aztreonam and cephalosporin breakpoints should attach a warning comment to the report for ESBL-positive organisms: “ESBL-producers should be considered clinically resistant to all penicillins, cephalosporins, and aztreonam.” Is this practice in place?</v>
      </c>
      <c r="B1473" s="26" t="s">
        <v>7037</v>
      </c>
      <c r="C1473" s="26" t="s">
        <v>6437</v>
      </c>
      <c r="D1473" s="288" t="s">
        <v>4406</v>
      </c>
      <c r="E1473" s="553" t="s">
        <v>6438</v>
      </c>
    </row>
    <row r="1474" spans="1:5" ht="179.4">
      <c r="A1474" s="295" t="str">
        <f t="shared" si="25"/>
        <v>For labs that DO use current cephalosporin and aztreonam breakpoints, CLSI and EUCAST no longer recommend routine testing for ESBL phenotype. Furthermore, if ESBL testing is performed and the test is positive, interpretations for beta-lactam agents do NOT need to be changed from susceptible to resistant. Has the lab discontinued editing AST results based on the ESBL result?</v>
      </c>
      <c r="B1474" s="26" t="s">
        <v>1552</v>
      </c>
      <c r="C1474" s="26" t="s">
        <v>4772</v>
      </c>
      <c r="D1474" s="170" t="s">
        <v>4407</v>
      </c>
      <c r="E1474" s="553" t="s">
        <v>6439</v>
      </c>
    </row>
    <row r="1475" spans="1:5" ht="55.2">
      <c r="A1475" s="295" t="str">
        <f t="shared" si="25"/>
        <v>Note: Select NA for the question above if the lab does NOT use current cephalosporin and aztreonam breakpoints</v>
      </c>
      <c r="B1475" s="26" t="s">
        <v>6736</v>
      </c>
      <c r="C1475" s="26" t="s">
        <v>6737</v>
      </c>
      <c r="D1475" s="288" t="s">
        <v>6739</v>
      </c>
      <c r="E1475" s="553" t="s">
        <v>6738</v>
      </c>
    </row>
    <row r="1476" spans="1:5" ht="69">
      <c r="A1476" s="295" t="str">
        <f t="shared" ref="A1476:A1539" si="26">IF(langue=1,B1476,IF(langue=2,C1476,IF(langue=3,D1476,IF(langue=4,E1476,F1476))))</f>
        <v xml:space="preserve">Does the lab perform any phenotypic tests for ESBL production? Including disks, gradient strips, or a screening well in an automated system. </v>
      </c>
      <c r="B1476" s="26" t="s">
        <v>2345</v>
      </c>
      <c r="C1476" s="26" t="s">
        <v>4773</v>
      </c>
      <c r="D1476" s="170" t="s">
        <v>4408</v>
      </c>
      <c r="E1476" s="553" t="s">
        <v>6440</v>
      </c>
    </row>
    <row r="1477" spans="1:5" ht="27.6">
      <c r="A1477" s="295" t="str">
        <f t="shared" si="26"/>
        <v>If no, answer NA until Carbapenemase Testing Section</v>
      </c>
      <c r="B1477" s="26" t="s">
        <v>1961</v>
      </c>
      <c r="C1477" s="26" t="s">
        <v>6441</v>
      </c>
      <c r="D1477" s="288" t="s">
        <v>3165</v>
      </c>
      <c r="E1477" s="553" t="s">
        <v>6442</v>
      </c>
    </row>
    <row r="1478" spans="1:5" ht="69">
      <c r="A1478" s="295" t="str">
        <f t="shared" si="26"/>
        <v>Does the phenotypic ESBL method include testing both cefotaxime (or ceftriaxone) AND ceftazidime alone and in combination with clavulanic acid?</v>
      </c>
      <c r="B1478" s="26" t="s">
        <v>213</v>
      </c>
      <c r="C1478" s="26" t="s">
        <v>2838</v>
      </c>
      <c r="D1478" s="170" t="s">
        <v>4409</v>
      </c>
      <c r="E1478" s="553" t="s">
        <v>6443</v>
      </c>
    </row>
    <row r="1479" spans="1:5" ht="41.4">
      <c r="A1479" s="295" t="str">
        <f t="shared" si="26"/>
        <v>Does the lab perform any genotypic tests for ESBL production? (e.g., PCR)</v>
      </c>
      <c r="B1479" s="26" t="s">
        <v>7038</v>
      </c>
      <c r="C1479" s="26" t="s">
        <v>2839</v>
      </c>
      <c r="D1479" s="288" t="s">
        <v>4410</v>
      </c>
      <c r="E1479" s="553" t="s">
        <v>6444</v>
      </c>
    </row>
    <row r="1480" spans="1:5" ht="55.2">
      <c r="A1480" s="295" t="str">
        <f t="shared" si="26"/>
        <v>Do records indicate that quality control for ESBL testing is done either on a weekly basis or each time the test is performed?</v>
      </c>
      <c r="B1480" s="26" t="s">
        <v>286</v>
      </c>
      <c r="C1480" s="26" t="s">
        <v>6445</v>
      </c>
      <c r="D1480" s="288" t="s">
        <v>4411</v>
      </c>
      <c r="E1480" s="553" t="s">
        <v>6446</v>
      </c>
    </row>
    <row r="1481" spans="1:5" ht="96.6">
      <c r="A1481" s="295" t="str">
        <f t="shared" si="26"/>
        <v>Do records indicate that lab uses both positive and negative control organisms to QC the ESBL test in use? (A commonly used ESBL-positive strain is Klebsiella pneumoniae ATCC 700603)</v>
      </c>
      <c r="B1481" s="26" t="s">
        <v>7040</v>
      </c>
      <c r="C1481" s="26" t="s">
        <v>6447</v>
      </c>
      <c r="D1481" s="170" t="s">
        <v>4412</v>
      </c>
      <c r="E1481" s="553" t="s">
        <v>6448</v>
      </c>
    </row>
    <row r="1482" spans="1:5" ht="41.4">
      <c r="A1482" s="295" t="str">
        <f t="shared" si="26"/>
        <v>When an ESBL-positive is confirmed, is infection control notified by the lab?</v>
      </c>
      <c r="B1482" s="26" t="s">
        <v>7039</v>
      </c>
      <c r="C1482" s="26" t="s">
        <v>6449</v>
      </c>
      <c r="D1482" s="170" t="s">
        <v>4413</v>
      </c>
      <c r="E1482" s="553" t="s">
        <v>6450</v>
      </c>
    </row>
    <row r="1483" spans="1:5" ht="27.6">
      <c r="A1483" s="295" t="str">
        <f t="shared" si="26"/>
        <v>PHENOTYPIC CARBAPENEMASE TESTING</v>
      </c>
      <c r="B1483" s="26" t="s">
        <v>663</v>
      </c>
      <c r="C1483" s="26" t="s">
        <v>6451</v>
      </c>
      <c r="D1483" s="288" t="s">
        <v>4414</v>
      </c>
      <c r="E1483" s="553" t="s">
        <v>6452</v>
      </c>
    </row>
    <row r="1484" spans="1:5" ht="179.4">
      <c r="A1484" s="295" t="str">
        <f t="shared" si="26"/>
        <v>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v>
      </c>
      <c r="B1484" s="26" t="s">
        <v>7041</v>
      </c>
      <c r="C1484" s="26" t="s">
        <v>6453</v>
      </c>
      <c r="D1484" s="288" t="s">
        <v>4415</v>
      </c>
      <c r="E1484" s="553" t="s">
        <v>6454</v>
      </c>
    </row>
    <row r="1485" spans="1:5" ht="41.4">
      <c r="A1485" s="295" t="str">
        <f t="shared" si="26"/>
        <v>Note: Select NA if the lab uses current breakpoints</v>
      </c>
      <c r="B1485" s="26" t="s">
        <v>1597</v>
      </c>
      <c r="C1485" s="26" t="s">
        <v>6455</v>
      </c>
      <c r="D1485" s="288" t="s">
        <v>4416</v>
      </c>
      <c r="E1485" s="553" t="s">
        <v>6456</v>
      </c>
    </row>
    <row r="1486" spans="1:5" ht="165.6">
      <c r="A1486" s="295" t="str">
        <f t="shared" si="26"/>
        <v>For labs that DO use current carbapenem breakpoints, CLSI and EUCAST no longer recommend routine testing for carbapenemase production. Furthermore, if such testing is performed and the test is positive, interpretations for carbapenems do NOT need to be changed from susceptible to resistant. Has the lab discontinued editing AST results based on the carbapenemase result?</v>
      </c>
      <c r="B1486" s="26" t="s">
        <v>1962</v>
      </c>
      <c r="C1486" s="26" t="s">
        <v>6457</v>
      </c>
      <c r="D1486" s="170" t="s">
        <v>4417</v>
      </c>
      <c r="E1486" s="553" t="s">
        <v>6458</v>
      </c>
    </row>
    <row r="1487" spans="1:5" ht="41.4">
      <c r="A1487" s="295" t="str">
        <f t="shared" si="26"/>
        <v>Note: Select NA if the lab does NOT use current breakpoints</v>
      </c>
      <c r="B1487" s="26" t="s">
        <v>2808</v>
      </c>
      <c r="C1487" s="26" t="s">
        <v>6459</v>
      </c>
      <c r="D1487" s="288" t="s">
        <v>4418</v>
      </c>
      <c r="E1487" s="553" t="s">
        <v>6460</v>
      </c>
    </row>
    <row r="1488" spans="1:5" ht="55.2">
      <c r="A1488" s="295" t="str">
        <f t="shared" si="26"/>
        <v>Does the lab perform any of the following phenotypic tests for carbapenemase production?</v>
      </c>
      <c r="B1488" s="26" t="s">
        <v>2343</v>
      </c>
      <c r="C1488" s="26" t="s">
        <v>2840</v>
      </c>
      <c r="D1488" s="288" t="s">
        <v>4419</v>
      </c>
      <c r="E1488" s="553" t="s">
        <v>6461</v>
      </c>
    </row>
    <row r="1489" spans="1:6">
      <c r="A1489" s="295" t="str">
        <f t="shared" si="26"/>
        <v>Modified Hodge test</v>
      </c>
      <c r="B1489" s="26" t="s">
        <v>80</v>
      </c>
      <c r="C1489" s="26" t="s">
        <v>2841</v>
      </c>
      <c r="D1489" s="288" t="s">
        <v>3166</v>
      </c>
      <c r="E1489" s="553" t="s">
        <v>6462</v>
      </c>
    </row>
    <row r="1490" spans="1:6" ht="41.4">
      <c r="A1490" s="295" t="str">
        <f t="shared" si="26"/>
        <v>Other disk method, e.g., combination disk test or double disk synergy</v>
      </c>
      <c r="B1490" s="26" t="s">
        <v>287</v>
      </c>
      <c r="C1490" s="26" t="s">
        <v>6463</v>
      </c>
      <c r="D1490" s="170" t="s">
        <v>4420</v>
      </c>
      <c r="E1490" s="553" t="s">
        <v>6464</v>
      </c>
    </row>
    <row r="1491" spans="1:6" ht="41.4">
      <c r="A1491" s="295" t="str">
        <f t="shared" si="26"/>
        <v>MIC Strip test, e.g., Etest KPC, MBL or Liofilchem MRP/MBO, ETP/EBO</v>
      </c>
      <c r="B1491" s="26" t="s">
        <v>324</v>
      </c>
      <c r="C1491" s="26" t="s">
        <v>6465</v>
      </c>
      <c r="D1491" s="170" t="s">
        <v>4421</v>
      </c>
      <c r="E1491" s="553" t="s">
        <v>6466</v>
      </c>
    </row>
    <row r="1492" spans="1:6" ht="27.6">
      <c r="A1492" s="295" t="str">
        <f t="shared" si="26"/>
        <v>Biochemical (colorimetric) test, e.g., CarbaNP, BCT, or β CARBA</v>
      </c>
      <c r="B1492" s="26" t="s">
        <v>7042</v>
      </c>
      <c r="C1492" s="26" t="s">
        <v>2842</v>
      </c>
      <c r="D1492" s="288" t="s">
        <v>4422</v>
      </c>
      <c r="E1492" s="553" t="s">
        <v>6467</v>
      </c>
    </row>
    <row r="1493" spans="1:6" ht="41.4">
      <c r="A1493" s="295" t="str">
        <f t="shared" si="26"/>
        <v>Chromogenic agar specific for carbapenemase producers</v>
      </c>
      <c r="B1493" s="26" t="s">
        <v>288</v>
      </c>
      <c r="C1493" s="26" t="s">
        <v>6468</v>
      </c>
      <c r="D1493" s="288" t="s">
        <v>3167</v>
      </c>
      <c r="E1493" s="553" t="s">
        <v>6469</v>
      </c>
    </row>
    <row r="1494" spans="1:6" ht="27.6">
      <c r="A1494" s="295" t="str">
        <f t="shared" si="26"/>
        <v>Modified carbapenem inactivation method (MCIM)</v>
      </c>
      <c r="B1494" s="26" t="s">
        <v>263</v>
      </c>
      <c r="C1494" s="26" t="s">
        <v>6470</v>
      </c>
      <c r="D1494" s="288" t="s">
        <v>4423</v>
      </c>
      <c r="E1494" s="553" t="s">
        <v>6471</v>
      </c>
    </row>
    <row r="1495" spans="1:6" ht="55.2">
      <c r="A1495" s="295" t="str">
        <f t="shared" si="26"/>
        <v>Does the lab perform any genotypic tests for carbapenemase production? (e.g., PCR, GeneXpert, etc.)</v>
      </c>
      <c r="B1495" s="26" t="s">
        <v>7043</v>
      </c>
      <c r="C1495" s="26" t="s">
        <v>2843</v>
      </c>
      <c r="D1495" s="288" t="s">
        <v>4424</v>
      </c>
      <c r="E1495" s="553" t="s">
        <v>6472</v>
      </c>
    </row>
    <row r="1496" spans="1:6" ht="55.2">
      <c r="A1496" s="295" t="str">
        <f t="shared" si="26"/>
        <v xml:space="preserve">Do records indicate that quality control is done each time carbapenemase testing is performed? </v>
      </c>
      <c r="B1496" s="26" t="s">
        <v>2094</v>
      </c>
      <c r="C1496" s="26" t="s">
        <v>6473</v>
      </c>
      <c r="D1496" s="288" t="s">
        <v>4425</v>
      </c>
      <c r="E1496" s="553" t="s">
        <v>6474</v>
      </c>
    </row>
    <row r="1497" spans="1:6" ht="55.2">
      <c r="A1497" s="295" t="str">
        <f t="shared" si="26"/>
        <v xml:space="preserve">Do records indicate that lab uses both positive and negative control organisms to QC the carbapenemase test in use? </v>
      </c>
      <c r="B1497" s="26" t="s">
        <v>335</v>
      </c>
      <c r="C1497" s="26" t="s">
        <v>2844</v>
      </c>
      <c r="D1497" s="170" t="s">
        <v>4426</v>
      </c>
      <c r="E1497" s="553" t="s">
        <v>6475</v>
      </c>
    </row>
    <row r="1498" spans="1:6" ht="69">
      <c r="A1498" s="295" t="str">
        <f t="shared" si="26"/>
        <v>Commonly used carbapenemase positive strains include K. pneumoniae ATCC BAA-1705, K. pneumoniae CCUG 56233, and K. pneumoniae NCTC 13438</v>
      </c>
      <c r="B1498" s="26" t="s">
        <v>7044</v>
      </c>
      <c r="C1498" s="26" t="s">
        <v>7045</v>
      </c>
      <c r="D1498" s="288" t="s">
        <v>7046</v>
      </c>
      <c r="E1498" s="553" t="s">
        <v>7047</v>
      </c>
    </row>
    <row r="1499" spans="1:6" ht="41.4">
      <c r="A1499" s="295" t="str">
        <f t="shared" si="26"/>
        <v>When a carbapenemase producer is detected, is it noted on the final report to the clinician?</v>
      </c>
      <c r="B1499" s="26" t="s">
        <v>325</v>
      </c>
      <c r="C1499" s="26" t="s">
        <v>6476</v>
      </c>
      <c r="D1499" s="170" t="s">
        <v>4427</v>
      </c>
      <c r="E1499" s="553" t="s">
        <v>6477</v>
      </c>
    </row>
    <row r="1500" spans="1:6" ht="55.2">
      <c r="A1500" s="295" t="str">
        <f t="shared" si="26"/>
        <v>When a carbapenemase producer is detected, is infection control notified by the lab?</v>
      </c>
      <c r="B1500" s="26" t="s">
        <v>326</v>
      </c>
      <c r="C1500" s="26" t="s">
        <v>6478</v>
      </c>
      <c r="D1500" s="170" t="s">
        <v>4428</v>
      </c>
      <c r="E1500" s="553" t="s">
        <v>6479</v>
      </c>
    </row>
    <row r="1501" spans="1:6">
      <c r="A1501" s="295" t="str">
        <f t="shared" si="26"/>
        <v>COLISTIN TESTING</v>
      </c>
      <c r="B1501" s="26" t="s">
        <v>661</v>
      </c>
      <c r="C1501" s="26" t="s">
        <v>2462</v>
      </c>
      <c r="D1501" s="288" t="s">
        <v>2943</v>
      </c>
      <c r="E1501" s="553" t="s">
        <v>6480</v>
      </c>
    </row>
    <row r="1502" spans="1:6" s="495" customFormat="1" ht="41.4">
      <c r="A1502" s="492" t="str">
        <f t="shared" si="26"/>
        <v>Does the lab perform colistin AST? (Not scored. If No, skip to next section.)</v>
      </c>
      <c r="B1502" s="493" t="s">
        <v>4805</v>
      </c>
      <c r="C1502" s="493" t="s">
        <v>6481</v>
      </c>
      <c r="D1502" s="494" t="s">
        <v>4806</v>
      </c>
      <c r="E1502" s="561" t="s">
        <v>6482</v>
      </c>
      <c r="F1502" s="574"/>
    </row>
    <row r="1503" spans="1:6" ht="41.4">
      <c r="A1503" s="295" t="str">
        <f t="shared" si="26"/>
        <v>Which methods does the lab use for colistin AST? (Check all that apply)</v>
      </c>
      <c r="B1503" s="26" t="s">
        <v>216</v>
      </c>
      <c r="C1503" s="26" t="s">
        <v>4774</v>
      </c>
      <c r="D1503" s="288" t="s">
        <v>4429</v>
      </c>
      <c r="E1503" s="553" t="s">
        <v>6483</v>
      </c>
    </row>
    <row r="1504" spans="1:6">
      <c r="A1504" s="295" t="str">
        <f t="shared" si="26"/>
        <v>Disk diffusion</v>
      </c>
      <c r="B1504" s="26" t="s">
        <v>65</v>
      </c>
      <c r="C1504" s="26" t="s">
        <v>4528</v>
      </c>
      <c r="D1504" s="288" t="s">
        <v>3670</v>
      </c>
      <c r="E1504" s="553" t="s">
        <v>6484</v>
      </c>
    </row>
    <row r="1505" spans="1:5" ht="27.6">
      <c r="A1505" s="295" t="str">
        <f t="shared" si="26"/>
        <v>Gradient strip (e.g., Etest/Liofilchem)</v>
      </c>
      <c r="B1505" s="26" t="s">
        <v>217</v>
      </c>
      <c r="C1505" s="26" t="s">
        <v>4775</v>
      </c>
      <c r="D1505" s="288" t="s">
        <v>3671</v>
      </c>
      <c r="E1505" s="553" t="s">
        <v>6485</v>
      </c>
    </row>
    <row r="1506" spans="1:5" ht="27.6">
      <c r="A1506" s="295" t="str">
        <f t="shared" si="26"/>
        <v>Automated instrument (e.g., Vitek/Phoenix)</v>
      </c>
      <c r="B1506" s="26" t="s">
        <v>218</v>
      </c>
      <c r="C1506" s="26" t="s">
        <v>2845</v>
      </c>
      <c r="D1506" s="288" t="s">
        <v>4430</v>
      </c>
      <c r="E1506" s="553" t="s">
        <v>6486</v>
      </c>
    </row>
    <row r="1507" spans="1:5" ht="27.6">
      <c r="A1507" s="295" t="str">
        <f t="shared" si="26"/>
        <v>Broth microdilution (BMD) with Polysorbate 80</v>
      </c>
      <c r="B1507" s="26" t="s">
        <v>327</v>
      </c>
      <c r="C1507" s="26" t="s">
        <v>2846</v>
      </c>
      <c r="D1507" s="170" t="s">
        <v>4431</v>
      </c>
      <c r="E1507" s="553" t="s">
        <v>6487</v>
      </c>
    </row>
    <row r="1508" spans="1:5" ht="27.6">
      <c r="A1508" s="295" t="str">
        <f t="shared" si="26"/>
        <v>Broth microdilution (BMD) without Polysorbate 80</v>
      </c>
      <c r="B1508" s="26" t="s">
        <v>328</v>
      </c>
      <c r="C1508" s="26" t="s">
        <v>2847</v>
      </c>
      <c r="D1508" s="170" t="s">
        <v>4432</v>
      </c>
      <c r="E1508" s="553" t="s">
        <v>6488</v>
      </c>
    </row>
    <row r="1509" spans="1:5" ht="27.6">
      <c r="A1509" s="295" t="str">
        <f t="shared" si="26"/>
        <v>Colistin Broth Disk Elution (CBDE) Test</v>
      </c>
      <c r="B1509" s="26" t="s">
        <v>219</v>
      </c>
      <c r="C1509" s="26" t="s">
        <v>4776</v>
      </c>
      <c r="D1509" s="170" t="s">
        <v>4433</v>
      </c>
      <c r="E1509" s="553" t="s">
        <v>6489</v>
      </c>
    </row>
    <row r="1510" spans="1:5" ht="27.6">
      <c r="A1510" s="295" t="str">
        <f t="shared" si="26"/>
        <v>Agar dilution (Colistin Agar Test)</v>
      </c>
      <c r="B1510" s="26" t="s">
        <v>6712</v>
      </c>
      <c r="C1510" s="20" t="s">
        <v>4532</v>
      </c>
      <c r="D1510" s="288" t="s">
        <v>2903</v>
      </c>
      <c r="E1510" s="553" t="s">
        <v>6844</v>
      </c>
    </row>
    <row r="1511" spans="1:5" ht="55.2">
      <c r="A1511" s="295" t="str">
        <f t="shared" si="26"/>
        <v>Do records indicate that quality control for colistin AST is performed on either a weekly basis or each time the test is performed?</v>
      </c>
      <c r="B1511" s="26" t="s">
        <v>220</v>
      </c>
      <c r="C1511" s="26" t="s">
        <v>4777</v>
      </c>
      <c r="D1511" s="288" t="s">
        <v>4434</v>
      </c>
      <c r="E1511" s="553" t="s">
        <v>6490</v>
      </c>
    </row>
    <row r="1512" spans="1:5" ht="69">
      <c r="A1512" s="295" t="str">
        <f t="shared" si="26"/>
        <v>Do records indicate that lab uses appropriate organisms to QC the colistin test in use? (P. aeruginosa 27853 AND E. coli NCTC 13846 or E. coli AR Bank #0349).</v>
      </c>
      <c r="B1512" s="26" t="s">
        <v>7048</v>
      </c>
      <c r="C1512" s="26" t="s">
        <v>7049</v>
      </c>
      <c r="D1512" s="288" t="s">
        <v>7050</v>
      </c>
      <c r="E1512" s="553" t="s">
        <v>6845</v>
      </c>
    </row>
    <row r="1513" spans="1:5" ht="41.4">
      <c r="A1513" s="295" t="str">
        <f t="shared" si="26"/>
        <v>When colistin resistance is detected, are any of the following notified?</v>
      </c>
      <c r="B1513" s="26" t="s">
        <v>222</v>
      </c>
      <c r="C1513" s="26" t="s">
        <v>2848</v>
      </c>
      <c r="D1513" s="288" t="s">
        <v>4435</v>
      </c>
      <c r="E1513" s="553" t="s">
        <v>6491</v>
      </c>
    </row>
    <row r="1514" spans="1:5">
      <c r="A1514" s="295" t="str">
        <f t="shared" si="26"/>
        <v>Lab supervisor</v>
      </c>
      <c r="B1514" s="26" t="s">
        <v>223</v>
      </c>
      <c r="C1514" s="26" t="s">
        <v>2849</v>
      </c>
      <c r="D1514" s="288" t="s">
        <v>3168</v>
      </c>
      <c r="E1514" s="553" t="s">
        <v>6492</v>
      </c>
    </row>
    <row r="1515" spans="1:5">
      <c r="A1515" s="295" t="str">
        <f t="shared" si="26"/>
        <v>Infectious Disease team</v>
      </c>
      <c r="B1515" s="26" t="s">
        <v>225</v>
      </c>
      <c r="C1515" s="26" t="s">
        <v>2850</v>
      </c>
      <c r="D1515" s="288" t="s">
        <v>3169</v>
      </c>
      <c r="E1515" s="553" t="s">
        <v>6493</v>
      </c>
    </row>
    <row r="1516" spans="1:5">
      <c r="A1516" s="295" t="str">
        <f t="shared" si="26"/>
        <v>Infection Control team</v>
      </c>
      <c r="B1516" s="26" t="s">
        <v>224</v>
      </c>
      <c r="C1516" s="26" t="s">
        <v>2851</v>
      </c>
      <c r="D1516" s="288" t="s">
        <v>3170</v>
      </c>
      <c r="E1516" s="553" t="s">
        <v>6494</v>
      </c>
    </row>
    <row r="1517" spans="1:5" ht="69">
      <c r="A1517" s="295" t="str">
        <f t="shared" si="26"/>
        <v>When colistin resistance is detected, is the isolate sent to a reference lab for molecular characterization (e.g., testing for mcr genes)?</v>
      </c>
      <c r="B1517" s="26" t="s">
        <v>226</v>
      </c>
      <c r="C1517" s="26" t="s">
        <v>2852</v>
      </c>
      <c r="D1517" s="288" t="s">
        <v>4436</v>
      </c>
      <c r="E1517" s="553" t="s">
        <v>6495</v>
      </c>
    </row>
    <row r="1518" spans="1:5" ht="69">
      <c r="A1518" s="295" t="str">
        <f t="shared" si="26"/>
        <v xml:space="preserve">If the lab uses broth microdilution for colistin AST, is colistin sulfate used, not colistin methane sulfonate (sulfomethate)? </v>
      </c>
      <c r="B1518" s="26" t="s">
        <v>336</v>
      </c>
      <c r="C1518" s="26" t="s">
        <v>4778</v>
      </c>
      <c r="D1518" s="170" t="s">
        <v>4437</v>
      </c>
      <c r="E1518" s="553" t="s">
        <v>6496</v>
      </c>
    </row>
    <row r="1519" spans="1:5" ht="55.2">
      <c r="A1519" s="295" t="str">
        <f t="shared" si="26"/>
        <v>The methane sulfonate derivative of colistin ("cms") is an inactive pro-drug that breaks down slowly in solution and therefore cannot be used for AST.</v>
      </c>
      <c r="B1519" s="26" t="s">
        <v>1598</v>
      </c>
      <c r="C1519" s="26" t="s">
        <v>4779</v>
      </c>
      <c r="D1519" s="288" t="s">
        <v>4438</v>
      </c>
      <c r="E1519" s="553" t="s">
        <v>6497</v>
      </c>
    </row>
    <row r="1520" spans="1:5" ht="55.2">
      <c r="A1520" s="295" t="str">
        <f t="shared" si="26"/>
        <v>If the lab performs broth microdilution (BMD) for colistin AST, is cation-adjusted Mueller Hinton broth used?</v>
      </c>
      <c r="B1520" s="26" t="s">
        <v>227</v>
      </c>
      <c r="C1520" s="26" t="s">
        <v>4780</v>
      </c>
      <c r="D1520" s="170" t="s">
        <v>4439</v>
      </c>
      <c r="E1520" s="553" t="s">
        <v>6498</v>
      </c>
    </row>
    <row r="1521" spans="1:5" ht="27.6">
      <c r="A1521" s="295" t="str">
        <f t="shared" si="26"/>
        <v>Answer NA if the lab does not perform BMD</v>
      </c>
      <c r="B1521" s="26" t="s">
        <v>228</v>
      </c>
      <c r="C1521" s="26" t="s">
        <v>6499</v>
      </c>
      <c r="D1521" s="288" t="s">
        <v>4440</v>
      </c>
      <c r="E1521" s="553" t="s">
        <v>6500</v>
      </c>
    </row>
    <row r="1522" spans="1:5" ht="96.6">
      <c r="A1522" s="295" t="str">
        <f t="shared" si="26"/>
        <v>Do laboratory staff understand the current limitations associated with colistin AST? (i.e., the risk of false susceptible results when using disk diffusion, gradient strip, or automated methods.)</v>
      </c>
      <c r="B1522" s="26" t="s">
        <v>6713</v>
      </c>
      <c r="C1522" s="26" t="s">
        <v>6714</v>
      </c>
      <c r="D1522" s="170" t="s">
        <v>6715</v>
      </c>
      <c r="E1522" s="553" t="s">
        <v>6716</v>
      </c>
    </row>
    <row r="1523" spans="1:5" ht="55.2">
      <c r="A1523" s="295" t="str">
        <f t="shared" si="26"/>
        <v>Has the lab educated the medical staff about the current limitations and risks associated with colistin AST?</v>
      </c>
      <c r="B1523" s="26" t="s">
        <v>333</v>
      </c>
      <c r="C1523" s="26" t="s">
        <v>4781</v>
      </c>
      <c r="D1523" s="288" t="s">
        <v>4441</v>
      </c>
      <c r="E1523" s="553" t="s">
        <v>6501</v>
      </c>
    </row>
    <row r="1524" spans="1:5" ht="27.6">
      <c r="A1524" s="295" t="str">
        <f t="shared" si="26"/>
        <v>EXPERT RULES FOR STAPHYLOCOCCUS AUREUS</v>
      </c>
      <c r="B1524" s="26" t="s">
        <v>7051</v>
      </c>
      <c r="C1524" s="26" t="s">
        <v>7052</v>
      </c>
      <c r="D1524" s="170" t="s">
        <v>7053</v>
      </c>
      <c r="E1524" s="553" t="s">
        <v>7054</v>
      </c>
    </row>
    <row r="1525" spans="1:5" ht="41.4">
      <c r="A1525" s="295" t="str">
        <f t="shared" si="26"/>
        <v xml:space="preserve">Does the lab test S. aureus isolates against penicillin? </v>
      </c>
      <c r="B1525" s="26" t="s">
        <v>7059</v>
      </c>
      <c r="C1525" s="26" t="s">
        <v>7060</v>
      </c>
      <c r="D1525" s="170" t="s">
        <v>7061</v>
      </c>
      <c r="E1525" s="553" t="s">
        <v>7062</v>
      </c>
    </row>
    <row r="1526" spans="1:5" ht="27.6">
      <c r="A1526" s="295" t="str">
        <f t="shared" si="26"/>
        <v>If no, answer NA to next question</v>
      </c>
      <c r="B1526" s="26" t="s">
        <v>189</v>
      </c>
      <c r="C1526" s="26" t="s">
        <v>2853</v>
      </c>
      <c r="D1526" s="288" t="s">
        <v>3171</v>
      </c>
      <c r="E1526" s="553" t="s">
        <v>6502</v>
      </c>
    </row>
    <row r="1527" spans="1:5" ht="96.6">
      <c r="A1527" s="295" t="str">
        <f t="shared" si="26"/>
        <v>Are S. aureus isolates with penicillin zones sizes or MICs in the susceptible range tested for β-lactamase production using the zone-edge test before being reported as penicillin susceptible?</v>
      </c>
      <c r="B1527" s="26" t="s">
        <v>7055</v>
      </c>
      <c r="C1527" s="26" t="s">
        <v>7056</v>
      </c>
      <c r="D1527" s="288" t="s">
        <v>7057</v>
      </c>
      <c r="E1527" s="553" t="s">
        <v>7058</v>
      </c>
    </row>
    <row r="1528" spans="1:5" ht="27.6">
      <c r="A1528" s="295" t="str">
        <f t="shared" si="26"/>
        <v>Does the lab use Oxacillin disks to test for MRSA?</v>
      </c>
      <c r="B1528" s="26" t="s">
        <v>229</v>
      </c>
      <c r="C1528" s="26" t="s">
        <v>2854</v>
      </c>
      <c r="D1528" s="288" t="s">
        <v>4442</v>
      </c>
      <c r="E1528" s="553" t="s">
        <v>6503</v>
      </c>
    </row>
    <row r="1529" spans="1:5" ht="69">
      <c r="A1529" s="295" t="str">
        <f t="shared" si="26"/>
        <v xml:space="preserve">When oxacillin and cefoxitin results are discrepant for S. aureus (one is S and one is R), how does the lab report oxacillin? </v>
      </c>
      <c r="B1529" s="26" t="s">
        <v>2811</v>
      </c>
      <c r="C1529" s="26" t="s">
        <v>6504</v>
      </c>
      <c r="D1529" s="288" t="s">
        <v>4443</v>
      </c>
      <c r="E1529" s="553" t="s">
        <v>6505</v>
      </c>
    </row>
    <row r="1530" spans="1:5" ht="138">
      <c r="A1530" s="295" t="str">
        <f t="shared" si="26"/>
        <v>1: Report the oxacillin interpretation, regardless of what the cefoxitin result is - 2: Report the cefoxitin interpretation, regardless of what the oxacillin result is - 3: If either drug tests R, report the result as R - NA: the lab only tests one of these drugs, not both</v>
      </c>
      <c r="B1530" s="26" t="s">
        <v>264</v>
      </c>
      <c r="C1530" s="26" t="s">
        <v>4782</v>
      </c>
      <c r="D1530" s="288" t="s">
        <v>4444</v>
      </c>
      <c r="E1530" s="553" t="s">
        <v>6506</v>
      </c>
    </row>
    <row r="1531" spans="1:5" ht="55.2">
      <c r="A1531" s="295" t="str">
        <f t="shared" si="26"/>
        <v>Does the lab perform S. aureus AST on any beta-lactam antibiotics other than penicillin, oxacillin, cefoxitin, or ceftaroline?</v>
      </c>
      <c r="B1531" s="26" t="s">
        <v>7063</v>
      </c>
      <c r="C1531" s="26" t="s">
        <v>7064</v>
      </c>
      <c r="D1531" s="170" t="s">
        <v>7065</v>
      </c>
      <c r="E1531" s="553" t="s">
        <v>7066</v>
      </c>
    </row>
    <row r="1532" spans="1:5" ht="69">
      <c r="A1532" s="295" t="str">
        <f t="shared" si="26"/>
        <v>Does the lab use vancomycin disks to test for VISA/VRSA?</v>
      </c>
      <c r="B1532" s="26" t="s">
        <v>230</v>
      </c>
      <c r="C1532" s="26" t="s">
        <v>2855</v>
      </c>
      <c r="D1532" s="170" t="s">
        <v>4445</v>
      </c>
      <c r="E1532" s="553" t="s">
        <v>6507</v>
      </c>
    </row>
    <row r="1533" spans="1:5" ht="69">
      <c r="A1533" s="295" t="str">
        <f t="shared" si="26"/>
        <v>When a manual MIC method is used to test vancomycin against Staph aureus, is the test incubated for a full 24 hours before reading the result?</v>
      </c>
      <c r="B1533" s="26" t="s">
        <v>7067</v>
      </c>
      <c r="C1533" s="26" t="s">
        <v>6508</v>
      </c>
      <c r="D1533" s="170" t="s">
        <v>4446</v>
      </c>
      <c r="E1533" s="553" t="s">
        <v>6509</v>
      </c>
    </row>
    <row r="1534" spans="1:5" ht="27.6">
      <c r="A1534" s="295" t="str">
        <f t="shared" si="26"/>
        <v>Answer NA if manual MIC method not used</v>
      </c>
      <c r="B1534" s="26" t="s">
        <v>265</v>
      </c>
      <c r="C1534" s="26" t="s">
        <v>6510</v>
      </c>
      <c r="D1534" s="288" t="s">
        <v>4447</v>
      </c>
      <c r="E1534" s="553" t="s">
        <v>6511</v>
      </c>
    </row>
    <row r="1535" spans="1:5" ht="82.8">
      <c r="A1535" s="295" t="str">
        <f t="shared" si="26"/>
        <v>When a vancomycin MIC &gt;8 is detected for S. aureus, is the isolate sent to a referral lab for confirmation testing and further characterization?</v>
      </c>
      <c r="B1535" s="26" t="s">
        <v>7068</v>
      </c>
      <c r="C1535" s="26" t="s">
        <v>7069</v>
      </c>
      <c r="D1535" s="288" t="s">
        <v>7070</v>
      </c>
      <c r="E1535" s="553" t="s">
        <v>7071</v>
      </c>
    </row>
    <row r="1536" spans="1:5" ht="27.6">
      <c r="A1536" s="295" t="str">
        <f t="shared" si="26"/>
        <v xml:space="preserve">Answer NA if vancomycin not tested </v>
      </c>
      <c r="B1536" s="26" t="s">
        <v>231</v>
      </c>
      <c r="C1536" s="26" t="s">
        <v>6512</v>
      </c>
      <c r="D1536" s="288" t="s">
        <v>3172</v>
      </c>
      <c r="E1536" s="553" t="s">
        <v>6513</v>
      </c>
    </row>
    <row r="1537" spans="1:5" ht="69">
      <c r="A1537" s="295" t="str">
        <f t="shared" si="26"/>
        <v>Are S. aureus that are resistant to Erythromycin and susceptible or intermediate to Clindamycin tested for inducible clindamycin resistance?</v>
      </c>
      <c r="B1537" s="26" t="s">
        <v>7072</v>
      </c>
      <c r="C1537" s="26" t="s">
        <v>7073</v>
      </c>
      <c r="D1537" s="288" t="s">
        <v>4448</v>
      </c>
      <c r="E1537" s="553" t="s">
        <v>7074</v>
      </c>
    </row>
    <row r="1538" spans="1:5" ht="41.4">
      <c r="A1538" s="295" t="str">
        <f t="shared" si="26"/>
        <v>GENERAL CONSIDERATIONS FOR STREPTOCOCCUS PNEUMONIAE</v>
      </c>
      <c r="B1538" s="26" t="s">
        <v>7075</v>
      </c>
      <c r="C1538" s="26" t="s">
        <v>6514</v>
      </c>
      <c r="D1538" s="288" t="s">
        <v>7076</v>
      </c>
      <c r="E1538" s="553" t="s">
        <v>7077</v>
      </c>
    </row>
    <row r="1539" spans="1:5" ht="55.2">
      <c r="A1539" s="295" t="str">
        <f t="shared" si="26"/>
        <v>If lab does not perform disk or Etest for S. pneumoniae AST, select N/A for all answers</v>
      </c>
      <c r="B1539" s="26" t="s">
        <v>7078</v>
      </c>
      <c r="C1539" s="26" t="s">
        <v>7079</v>
      </c>
      <c r="D1539" s="288" t="s">
        <v>7080</v>
      </c>
      <c r="E1539" s="553" t="s">
        <v>7081</v>
      </c>
    </row>
    <row r="1540" spans="1:5" ht="27.6">
      <c r="A1540" s="295" t="str">
        <f t="shared" ref="A1540:A1603" si="27">IF(langue=1,B1540,IF(langue=2,C1540,IF(langue=3,D1540,IF(langue=4,E1540,F1540))))</f>
        <v>Observe a S. pneumoniae AST plate being read</v>
      </c>
      <c r="B1540" s="26" t="s">
        <v>7082</v>
      </c>
      <c r="C1540" s="26" t="s">
        <v>7083</v>
      </c>
      <c r="D1540" s="170" t="s">
        <v>7084</v>
      </c>
      <c r="E1540" s="553" t="s">
        <v>7085</v>
      </c>
    </row>
    <row r="1541" spans="1:5" ht="27.6">
      <c r="A1541" s="295" t="str">
        <f t="shared" si="27"/>
        <v>Is the upper surface of the agar read with the cover removed?</v>
      </c>
      <c r="B1541" s="26" t="s">
        <v>235</v>
      </c>
      <c r="C1541" s="26" t="s">
        <v>6515</v>
      </c>
      <c r="D1541" s="288" t="s">
        <v>3173</v>
      </c>
      <c r="E1541" s="553" t="s">
        <v>6516</v>
      </c>
    </row>
    <row r="1542" spans="1:5" ht="27.6">
      <c r="A1542" s="295" t="str">
        <f t="shared" si="27"/>
        <v>Is the plate illuminated adequately with reflected light?</v>
      </c>
      <c r="B1542" s="26" t="s">
        <v>232</v>
      </c>
      <c r="C1542" s="26" t="s">
        <v>4783</v>
      </c>
      <c r="D1542" s="288" t="s">
        <v>3136</v>
      </c>
      <c r="E1542" s="553" t="s">
        <v>6517</v>
      </c>
    </row>
    <row r="1543" spans="1:5" ht="41.4">
      <c r="A1543" s="295" t="str">
        <f t="shared" si="27"/>
        <v>Are zones measured where growth is inhibited (as opposed to the zone of hemolysis)?</v>
      </c>
      <c r="B1543" s="26" t="s">
        <v>233</v>
      </c>
      <c r="C1543" s="26" t="s">
        <v>6518</v>
      </c>
      <c r="D1543" s="170" t="s">
        <v>4449</v>
      </c>
      <c r="E1543" s="553" t="s">
        <v>6519</v>
      </c>
    </row>
    <row r="1544" spans="1:5" ht="41.4">
      <c r="A1544" s="295" t="str">
        <f t="shared" si="27"/>
        <v>Are there no more than 4 disks per 100mm plate or 9 disks per 150mm plate?</v>
      </c>
      <c r="B1544" s="26" t="s">
        <v>234</v>
      </c>
      <c r="C1544" s="26" t="s">
        <v>6520</v>
      </c>
      <c r="D1544" s="288" t="s">
        <v>3174</v>
      </c>
      <c r="E1544" s="553" t="s">
        <v>6846</v>
      </c>
    </row>
    <row r="1545" spans="1:5" ht="110.4">
      <c r="A1545" s="295" t="str">
        <f t="shared" si="27"/>
        <v>If the lab uses an oxacillin disk (1ug) to screen for penicillin resistance in Strep. pneumoniae, what does the lab’s SOP instruct when the zone size measures &lt;19? (Referring to penicillin G or Benzylpenicillin, the IV formulation)</v>
      </c>
      <c r="B1545" s="26" t="s">
        <v>236</v>
      </c>
      <c r="C1545" s="26" t="s">
        <v>6521</v>
      </c>
      <c r="D1545" s="288" t="s">
        <v>4450</v>
      </c>
      <c r="E1545" s="553" t="s">
        <v>6522</v>
      </c>
    </row>
    <row r="1546" spans="1:5" ht="69">
      <c r="A1546" s="295" t="str">
        <f t="shared" si="27"/>
        <v>1: Report penicillin resistant - 2: Perform additional testing using a penicillin MIC method - NA: lab does not perform oxacillin screen</v>
      </c>
      <c r="B1546" s="26" t="s">
        <v>237</v>
      </c>
      <c r="C1546" s="26" t="s">
        <v>6523</v>
      </c>
      <c r="D1546" s="170" t="s">
        <v>4451</v>
      </c>
      <c r="E1546" s="553" t="s">
        <v>6524</v>
      </c>
    </row>
    <row r="1547" spans="1:5" ht="27.6">
      <c r="A1547" s="295" t="str">
        <f t="shared" si="27"/>
        <v>EXPERT RULES FOR STREPTOCOCCUS PNEUMONIAE</v>
      </c>
      <c r="B1547" s="26" t="s">
        <v>7086</v>
      </c>
      <c r="C1547" s="26" t="s">
        <v>7087</v>
      </c>
      <c r="D1547" s="288" t="s">
        <v>7088</v>
      </c>
      <c r="E1547" s="553" t="s">
        <v>7089</v>
      </c>
    </row>
    <row r="1548" spans="1:5" ht="41.4">
      <c r="A1548" s="295" t="str">
        <f t="shared" si="27"/>
        <v>Does the lab perform AST for S.pneumoniae? (Not scored. If No, skip to next section.)</v>
      </c>
      <c r="B1548" s="26" t="s">
        <v>2815</v>
      </c>
      <c r="C1548" s="26" t="s">
        <v>6525</v>
      </c>
      <c r="D1548" s="288" t="s">
        <v>4452</v>
      </c>
      <c r="E1548" s="553" t="s">
        <v>6526</v>
      </c>
    </row>
    <row r="1549" spans="1:5" ht="41.4">
      <c r="A1549" s="295" t="str">
        <f t="shared" si="27"/>
        <v>Does the lab use the disk diffusion method to test any of the following antibiotics against S.pneumo?</v>
      </c>
      <c r="B1549" s="26" t="s">
        <v>2816</v>
      </c>
      <c r="C1549" s="26" t="s">
        <v>4784</v>
      </c>
      <c r="D1549" s="288" t="s">
        <v>4453</v>
      </c>
      <c r="E1549" s="553" t="s">
        <v>6527</v>
      </c>
    </row>
    <row r="1550" spans="1:5">
      <c r="A1550" s="295" t="str">
        <f t="shared" si="27"/>
        <v>Penicillin</v>
      </c>
      <c r="B1550" s="26" t="s">
        <v>68</v>
      </c>
      <c r="C1550" s="26" t="s">
        <v>2856</v>
      </c>
      <c r="D1550" s="288" t="s">
        <v>3175</v>
      </c>
      <c r="E1550" s="553" t="s">
        <v>3175</v>
      </c>
    </row>
    <row r="1551" spans="1:5">
      <c r="A1551" s="295" t="str">
        <f t="shared" si="27"/>
        <v>Amoxicillin</v>
      </c>
      <c r="B1551" s="26" t="s">
        <v>238</v>
      </c>
      <c r="C1551" s="26" t="s">
        <v>2857</v>
      </c>
      <c r="D1551" s="288" t="s">
        <v>3176</v>
      </c>
      <c r="E1551" s="553" t="s">
        <v>3176</v>
      </c>
    </row>
    <row r="1552" spans="1:5">
      <c r="A1552" s="295" t="str">
        <f t="shared" si="27"/>
        <v>Ampicillin</v>
      </c>
      <c r="B1552" s="26" t="s">
        <v>274</v>
      </c>
      <c r="C1552" s="26" t="s">
        <v>2858</v>
      </c>
      <c r="D1552" s="288" t="s">
        <v>3177</v>
      </c>
      <c r="E1552" s="553" t="s">
        <v>3177</v>
      </c>
    </row>
    <row r="1553" spans="1:5">
      <c r="A1553" s="295" t="str">
        <f t="shared" si="27"/>
        <v>Cefotaxime</v>
      </c>
      <c r="B1553" s="26" t="s">
        <v>70</v>
      </c>
      <c r="C1553" s="26" t="s">
        <v>2859</v>
      </c>
      <c r="D1553" s="288" t="s">
        <v>3178</v>
      </c>
      <c r="E1553" s="553" t="s">
        <v>3178</v>
      </c>
    </row>
    <row r="1554" spans="1:5">
      <c r="A1554" s="295" t="str">
        <f t="shared" si="27"/>
        <v>Ceftriaxone</v>
      </c>
      <c r="B1554" s="26" t="s">
        <v>69</v>
      </c>
      <c r="C1554" s="26" t="s">
        <v>69</v>
      </c>
      <c r="D1554" s="288" t="s">
        <v>3179</v>
      </c>
      <c r="E1554" s="553" t="s">
        <v>3179</v>
      </c>
    </row>
    <row r="1555" spans="1:5">
      <c r="A1555" s="295" t="str">
        <f t="shared" si="27"/>
        <v>Cefuroxime</v>
      </c>
      <c r="B1555" s="26" t="s">
        <v>239</v>
      </c>
      <c r="C1555" s="26" t="s">
        <v>2860</v>
      </c>
      <c r="D1555" s="288" t="s">
        <v>3180</v>
      </c>
      <c r="E1555" s="553" t="s">
        <v>239</v>
      </c>
    </row>
    <row r="1556" spans="1:5">
      <c r="A1556" s="295" t="str">
        <f t="shared" si="27"/>
        <v>Cefepime</v>
      </c>
      <c r="B1556" s="26" t="s">
        <v>71</v>
      </c>
      <c r="C1556" s="26" t="s">
        <v>71</v>
      </c>
      <c r="D1556" s="288" t="s">
        <v>3181</v>
      </c>
      <c r="E1556" s="553" t="s">
        <v>71</v>
      </c>
    </row>
    <row r="1557" spans="1:5">
      <c r="A1557" s="295" t="str">
        <f t="shared" si="27"/>
        <v>Ertapenem</v>
      </c>
      <c r="B1557" s="26" t="s">
        <v>78</v>
      </c>
      <c r="C1557" s="26" t="s">
        <v>6528</v>
      </c>
      <c r="D1557" s="288" t="s">
        <v>78</v>
      </c>
      <c r="E1557" s="553" t="s">
        <v>78</v>
      </c>
    </row>
    <row r="1558" spans="1:5">
      <c r="A1558" s="295" t="str">
        <f t="shared" si="27"/>
        <v>Meropenem</v>
      </c>
      <c r="B1558" s="26" t="s">
        <v>77</v>
      </c>
      <c r="C1558" s="26" t="s">
        <v>6529</v>
      </c>
      <c r="D1558" s="288" t="s">
        <v>77</v>
      </c>
      <c r="E1558" s="553" t="s">
        <v>77</v>
      </c>
    </row>
    <row r="1559" spans="1:5">
      <c r="A1559" s="295" t="str">
        <f t="shared" si="27"/>
        <v>Imipenem</v>
      </c>
      <c r="B1559" s="26" t="s">
        <v>79</v>
      </c>
      <c r="C1559" s="26" t="s">
        <v>6530</v>
      </c>
      <c r="D1559" s="288" t="s">
        <v>79</v>
      </c>
      <c r="E1559" s="553" t="s">
        <v>79</v>
      </c>
    </row>
    <row r="1560" spans="1:5" ht="69">
      <c r="A1560" s="295" t="str">
        <f t="shared" si="27"/>
        <v>When S. pneumoniae is isolated from blood or cerebrospinal fluid, does the lab test the following antibiotics using an MIC method?</v>
      </c>
      <c r="B1560" s="26" t="s">
        <v>2817</v>
      </c>
      <c r="C1560" s="26" t="s">
        <v>6531</v>
      </c>
      <c r="D1560" s="170" t="s">
        <v>4454</v>
      </c>
      <c r="E1560" s="553" t="s">
        <v>6532</v>
      </c>
    </row>
    <row r="1561" spans="1:5">
      <c r="A1561" s="295" t="str">
        <f t="shared" si="27"/>
        <v>Penicillin</v>
      </c>
      <c r="B1561" s="26" t="s">
        <v>68</v>
      </c>
      <c r="C1561" s="26" t="s">
        <v>2856</v>
      </c>
      <c r="D1561" s="288" t="s">
        <v>3175</v>
      </c>
      <c r="E1561" s="553" t="s">
        <v>3175</v>
      </c>
    </row>
    <row r="1562" spans="1:5">
      <c r="A1562" s="295" t="str">
        <f t="shared" si="27"/>
        <v>Ceftriaxone and/or Cefotaxime</v>
      </c>
      <c r="B1562" s="26" t="s">
        <v>240</v>
      </c>
      <c r="C1562" s="26" t="s">
        <v>2861</v>
      </c>
      <c r="D1562" s="288" t="s">
        <v>3182</v>
      </c>
      <c r="E1562" s="553" t="s">
        <v>6533</v>
      </c>
    </row>
    <row r="1563" spans="1:5" ht="69">
      <c r="A1563" s="295" t="str">
        <f t="shared" si="27"/>
        <v xml:space="preserve">When S. pneumoniae is isolated from CSF, are penicillin, ceftriaxone, and/or cefotaxime reported using the meningitis breakpoints only? </v>
      </c>
      <c r="B1563" s="26" t="s">
        <v>7090</v>
      </c>
      <c r="C1563" s="26" t="s">
        <v>7092</v>
      </c>
      <c r="D1563" s="288" t="s">
        <v>7096</v>
      </c>
      <c r="E1563" s="553" t="s">
        <v>6534</v>
      </c>
    </row>
    <row r="1564" spans="1:5" ht="82.8">
      <c r="A1564" s="295" t="str">
        <f t="shared" si="27"/>
        <v xml:space="preserve">When S. pneumoniae is isolated from specimens other than CSF, are penicillin, ceftriaxone, and/or cefotaxime reported using both meningitis and non-meningitis breakpoints? </v>
      </c>
      <c r="B1564" s="26" t="s">
        <v>7091</v>
      </c>
      <c r="C1564" s="26" t="s">
        <v>7093</v>
      </c>
      <c r="D1564" s="288" t="s">
        <v>7097</v>
      </c>
      <c r="E1564" s="553" t="s">
        <v>6535</v>
      </c>
    </row>
    <row r="1565" spans="1:5" ht="69">
      <c r="A1565" s="295" t="str">
        <f t="shared" si="27"/>
        <v>Are S. pneumoniae that are resistant to Erythromycin and susceptible or intermediate to Clindamycin tested for inducible clindamycin resistance?</v>
      </c>
      <c r="B1565" s="26" t="s">
        <v>7094</v>
      </c>
      <c r="C1565" s="26" t="s">
        <v>7095</v>
      </c>
      <c r="D1565" s="288" t="s">
        <v>7098</v>
      </c>
      <c r="E1565" s="553" t="s">
        <v>6536</v>
      </c>
    </row>
    <row r="1566" spans="1:5" ht="27.6">
      <c r="A1566" s="295" t="str">
        <f t="shared" si="27"/>
        <v>INDUCIBLE CLINDAMYCIN RESISTANCE TESTING</v>
      </c>
      <c r="B1566" s="26" t="s">
        <v>662</v>
      </c>
      <c r="C1566" s="26" t="s">
        <v>4571</v>
      </c>
      <c r="D1566" s="288" t="s">
        <v>4455</v>
      </c>
      <c r="E1566" s="553" t="s">
        <v>6537</v>
      </c>
    </row>
    <row r="1567" spans="1:5" ht="82.8">
      <c r="A1567" s="295" t="str">
        <f t="shared" si="27"/>
        <v xml:space="preserve">Does the lab perform the test for Inducible Clindamycin Resistance (ICR), also known as the “D-test” on Staphylococcus aureus and/or Streptococcus pneumoniae? </v>
      </c>
      <c r="B1567" s="26" t="s">
        <v>7101</v>
      </c>
      <c r="C1567" s="26" t="s">
        <v>7102</v>
      </c>
      <c r="D1567" s="288" t="s">
        <v>7103</v>
      </c>
      <c r="E1567" s="553" t="s">
        <v>7104</v>
      </c>
    </row>
    <row r="1568" spans="1:5" ht="69">
      <c r="A1568" s="295" t="str">
        <f t="shared" si="27"/>
        <v>Does the SOP for the ICR test specify that the erythromycin and clindamycin disks must be placed 15-26 mm apart for Staphylococcus species?</v>
      </c>
      <c r="B1568" s="26" t="s">
        <v>7099</v>
      </c>
      <c r="C1568" s="26" t="s">
        <v>6538</v>
      </c>
      <c r="D1568" s="288" t="s">
        <v>4456</v>
      </c>
      <c r="E1568" s="553" t="s">
        <v>7100</v>
      </c>
    </row>
    <row r="1569" spans="1:5" ht="69">
      <c r="A1569" s="295" t="str">
        <f t="shared" si="27"/>
        <v>Does the SOP for the ICR test specify that the erythromycin and clindamycin disks must be placed 12 mm apart for Streptococcus species?</v>
      </c>
      <c r="B1569" s="26" t="s">
        <v>7105</v>
      </c>
      <c r="C1569" s="26" t="s">
        <v>6539</v>
      </c>
      <c r="D1569" s="288" t="s">
        <v>4457</v>
      </c>
      <c r="E1569" s="553" t="s">
        <v>7106</v>
      </c>
    </row>
    <row r="1570" spans="1:5" ht="55.2">
      <c r="A1570" s="295" t="str">
        <f t="shared" si="27"/>
        <v>Do records indicate that quality control for ICR testing is done either on a weekly basis or each time the test is performed?</v>
      </c>
      <c r="B1570" s="26" t="s">
        <v>241</v>
      </c>
      <c r="C1570" s="26" t="s">
        <v>4785</v>
      </c>
      <c r="D1570" s="288" t="s">
        <v>4458</v>
      </c>
      <c r="E1570" s="553" t="s">
        <v>6540</v>
      </c>
    </row>
    <row r="1571" spans="1:5" ht="82.8">
      <c r="A1571" s="295" t="str">
        <f t="shared" si="27"/>
        <v>Do records indicate that lab uses both positive and negative control organisms to QC the ICR test in use? (Commonly used ICR positive strain is S. aureus ATCC BAA-977)</v>
      </c>
      <c r="B1571" s="26" t="s">
        <v>7107</v>
      </c>
      <c r="C1571" s="26" t="s">
        <v>6541</v>
      </c>
      <c r="D1571" s="170" t="s">
        <v>7108</v>
      </c>
      <c r="E1571" s="553" t="s">
        <v>6542</v>
      </c>
    </row>
    <row r="1572" spans="1:5" ht="41.4">
      <c r="A1572" s="295" t="str">
        <f t="shared" si="27"/>
        <v xml:space="preserve">When the ICR test is positive, is the clindamycin result changed to resistant? </v>
      </c>
      <c r="B1572" s="26" t="s">
        <v>243</v>
      </c>
      <c r="C1572" s="26" t="s">
        <v>6543</v>
      </c>
      <c r="D1572" s="288" t="s">
        <v>4459</v>
      </c>
      <c r="E1572" s="553" t="s">
        <v>6544</v>
      </c>
    </row>
    <row r="1573" spans="1:5" ht="27.6">
      <c r="A1573" s="295" t="str">
        <f t="shared" si="27"/>
        <v>EXPERT RULES FOR CEREBROSPINAL FLUID (CSF)</v>
      </c>
      <c r="B1573" s="26" t="s">
        <v>1963</v>
      </c>
      <c r="C1573" s="26" t="s">
        <v>6545</v>
      </c>
      <c r="D1573" s="288" t="s">
        <v>4460</v>
      </c>
      <c r="E1573" s="553" t="s">
        <v>6546</v>
      </c>
    </row>
    <row r="1574" spans="1:5" ht="55.2">
      <c r="A1574" s="295" t="str">
        <f t="shared" si="27"/>
        <v xml:space="preserve">Review a patient AST report for a positive CSF culture. Were any of the following drug classes tested or reported? </v>
      </c>
      <c r="B1574" s="26" t="s">
        <v>2341</v>
      </c>
      <c r="C1574" s="26" t="s">
        <v>6547</v>
      </c>
      <c r="D1574" s="170" t="s">
        <v>4461</v>
      </c>
      <c r="E1574" s="553" t="s">
        <v>6548</v>
      </c>
    </row>
    <row r="1575" spans="1:5" ht="69">
      <c r="A1575" s="295" t="str">
        <f t="shared" si="27"/>
        <v>(The following are not the drugs of choice and may not be effective for treating CSF infections, regardless of the AST result)</v>
      </c>
      <c r="B1575" s="26" t="s">
        <v>2342</v>
      </c>
      <c r="C1575" s="26" t="s">
        <v>6549</v>
      </c>
      <c r="D1575" s="288" t="s">
        <v>4462</v>
      </c>
      <c r="E1575" s="553" t="s">
        <v>6550</v>
      </c>
    </row>
    <row r="1576" spans="1:5" ht="41.4">
      <c r="A1576" s="295" t="str">
        <f t="shared" si="27"/>
        <v>1st generation cephalosporins (cefazolin, cephalothin, cephapirin, cephadrine)</v>
      </c>
      <c r="B1576" s="26" t="s">
        <v>7035</v>
      </c>
      <c r="C1576" s="26" t="s">
        <v>7129</v>
      </c>
      <c r="D1576" s="288" t="s">
        <v>7130</v>
      </c>
      <c r="E1576" s="553" t="s">
        <v>7131</v>
      </c>
    </row>
    <row r="1577" spans="1:5" ht="27.6">
      <c r="A1577" s="295" t="str">
        <f t="shared" si="27"/>
        <v>2nd generation cephalosporins (cefuroxime, cefonicid, cefamandole)</v>
      </c>
      <c r="B1577" s="26" t="s">
        <v>183</v>
      </c>
      <c r="C1577" s="26" t="s">
        <v>2824</v>
      </c>
      <c r="D1577" s="288" t="s">
        <v>3142</v>
      </c>
      <c r="E1577" s="553" t="s">
        <v>6551</v>
      </c>
    </row>
    <row r="1578" spans="1:5">
      <c r="A1578" s="295" t="str">
        <f t="shared" si="27"/>
        <v>Cephamycins (cefoxitin, cefotetan)</v>
      </c>
      <c r="B1578" s="26" t="s">
        <v>184</v>
      </c>
      <c r="C1578" s="26" t="s">
        <v>2825</v>
      </c>
      <c r="D1578" s="288" t="s">
        <v>3143</v>
      </c>
      <c r="E1578" s="553" t="s">
        <v>3143</v>
      </c>
    </row>
    <row r="1579" spans="1:5">
      <c r="A1579" s="295" t="str">
        <f t="shared" si="27"/>
        <v>Clindamycin</v>
      </c>
      <c r="B1579" s="26" t="s">
        <v>185</v>
      </c>
      <c r="C1579" s="26" t="s">
        <v>2862</v>
      </c>
      <c r="D1579" s="288" t="s">
        <v>3183</v>
      </c>
      <c r="E1579" s="553" t="s">
        <v>3183</v>
      </c>
    </row>
    <row r="1580" spans="1:5" ht="27.6">
      <c r="A1580" s="295" t="str">
        <f t="shared" si="27"/>
        <v>Macrolides (Erythromycin, Azithromycin, Clarithromycin)</v>
      </c>
      <c r="B1580" s="26" t="s">
        <v>186</v>
      </c>
      <c r="C1580" s="26" t="s">
        <v>2863</v>
      </c>
      <c r="D1580" s="288" t="s">
        <v>3184</v>
      </c>
      <c r="E1580" s="553" t="s">
        <v>6552</v>
      </c>
    </row>
    <row r="1581" spans="1:5" ht="27.6">
      <c r="A1581" s="295" t="str">
        <f t="shared" si="27"/>
        <v>Tetracyclines (Tetracycline, Minocycline, Doxycycline)</v>
      </c>
      <c r="B1581" s="26" t="s">
        <v>187</v>
      </c>
      <c r="C1581" s="26" t="s">
        <v>2864</v>
      </c>
      <c r="D1581" s="288" t="s">
        <v>3185</v>
      </c>
      <c r="E1581" s="553" t="s">
        <v>3185</v>
      </c>
    </row>
    <row r="1582" spans="1:5" ht="27.6">
      <c r="A1582" s="295" t="str">
        <f t="shared" si="27"/>
        <v>Fluoroquinolones (Ciprofloxacin, Levofloxacin, Moxifloxacin)</v>
      </c>
      <c r="B1582" s="26" t="s">
        <v>188</v>
      </c>
      <c r="C1582" s="26" t="s">
        <v>2865</v>
      </c>
      <c r="D1582" s="288" t="s">
        <v>3186</v>
      </c>
      <c r="E1582" s="553" t="s">
        <v>6553</v>
      </c>
    </row>
    <row r="1583" spans="1:5">
      <c r="A1583" s="295" t="str">
        <f t="shared" si="27"/>
        <v>Nitrofurantoin</v>
      </c>
      <c r="B1583" s="26" t="s">
        <v>1600</v>
      </c>
      <c r="C1583" s="26" t="s">
        <v>2866</v>
      </c>
      <c r="D1583" s="288" t="s">
        <v>3187</v>
      </c>
      <c r="E1583" s="553" t="s">
        <v>3187</v>
      </c>
    </row>
    <row r="1584" spans="1:5" ht="27.6">
      <c r="A1584" s="295" t="str">
        <f t="shared" si="27"/>
        <v>13- AST PANELS, POLICY &amp; ANALYSIS</v>
      </c>
      <c r="B1584" s="26" t="s">
        <v>1696</v>
      </c>
      <c r="C1584" s="26" t="s">
        <v>6554</v>
      </c>
      <c r="D1584" s="288" t="s">
        <v>3770</v>
      </c>
      <c r="E1584" s="553" t="s">
        <v>6555</v>
      </c>
    </row>
    <row r="1585" spans="1:5" ht="55.2">
      <c r="A1585" s="295" t="str">
        <f t="shared" si="27"/>
        <v>Please note: all questions refer only to clinical patient isolates, NOT to research or environmental isolates</v>
      </c>
      <c r="B1585" s="26" t="s">
        <v>2126</v>
      </c>
      <c r="C1585" s="26" t="s">
        <v>2764</v>
      </c>
      <c r="D1585" s="288" t="s">
        <v>4288</v>
      </c>
      <c r="E1585" s="553" t="s">
        <v>6556</v>
      </c>
    </row>
    <row r="1586" spans="1:5">
      <c r="A1586" s="295" t="str">
        <f t="shared" si="27"/>
        <v>AST PANELS</v>
      </c>
      <c r="B1586" s="26" t="s">
        <v>746</v>
      </c>
      <c r="C1586" s="26" t="s">
        <v>5147</v>
      </c>
      <c r="D1586" s="288" t="s">
        <v>3771</v>
      </c>
      <c r="E1586" s="553" t="s">
        <v>5148</v>
      </c>
    </row>
    <row r="1587" spans="1:5" ht="96.6">
      <c r="A1587" s="295" t="str">
        <f t="shared" si="27"/>
        <v>Is there an SOP that clearly defines the standard combination of antibiotics ("antibiotic panels") the lab will test against each of the following pathogens? (CLSI and EUCAST documents are not SOPs)</v>
      </c>
      <c r="B1587" s="26" t="s">
        <v>1601</v>
      </c>
      <c r="C1587" s="26" t="s">
        <v>6557</v>
      </c>
      <c r="D1587" s="288" t="s">
        <v>4463</v>
      </c>
      <c r="E1587" s="553" t="s">
        <v>6558</v>
      </c>
    </row>
    <row r="1588" spans="1:5">
      <c r="A1588" s="295" t="str">
        <f t="shared" si="27"/>
        <v>Staphylococcus aureus</v>
      </c>
      <c r="B1588" s="26" t="s">
        <v>7134</v>
      </c>
      <c r="C1588" s="26" t="s">
        <v>7134</v>
      </c>
      <c r="D1588" s="288" t="s">
        <v>7134</v>
      </c>
      <c r="E1588" s="553" t="s">
        <v>7134</v>
      </c>
    </row>
    <row r="1589" spans="1:5">
      <c r="A1589" s="295" t="str">
        <f t="shared" si="27"/>
        <v>Enterococcus spp</v>
      </c>
      <c r="B1589" s="26" t="s">
        <v>244</v>
      </c>
      <c r="C1589" s="26" t="s">
        <v>244</v>
      </c>
      <c r="D1589" s="288" t="s">
        <v>3188</v>
      </c>
      <c r="E1589" s="553" t="s">
        <v>244</v>
      </c>
    </row>
    <row r="1590" spans="1:5">
      <c r="A1590" s="295" t="str">
        <f t="shared" si="27"/>
        <v>Streptococcus pneumoniae</v>
      </c>
      <c r="B1590" s="26" t="s">
        <v>7133</v>
      </c>
      <c r="C1590" s="26" t="s">
        <v>7133</v>
      </c>
      <c r="D1590" s="288" t="s">
        <v>7133</v>
      </c>
      <c r="E1590" s="553" t="s">
        <v>7133</v>
      </c>
    </row>
    <row r="1591" spans="1:5">
      <c r="A1591" s="295" t="str">
        <f t="shared" si="27"/>
        <v>Enterobacteriaceae</v>
      </c>
      <c r="B1591" s="26" t="s">
        <v>64</v>
      </c>
      <c r="C1591" s="26" t="s">
        <v>64</v>
      </c>
      <c r="D1591" s="288" t="s">
        <v>64</v>
      </c>
      <c r="E1591" s="553" t="s">
        <v>64</v>
      </c>
    </row>
    <row r="1592" spans="1:5">
      <c r="A1592" s="295" t="str">
        <f t="shared" si="27"/>
        <v>Salmonella spp</v>
      </c>
      <c r="B1592" s="26" t="s">
        <v>179</v>
      </c>
      <c r="C1592" s="26" t="s">
        <v>179</v>
      </c>
      <c r="D1592" s="288" t="s">
        <v>55</v>
      </c>
      <c r="E1592" s="553" t="s">
        <v>179</v>
      </c>
    </row>
    <row r="1593" spans="1:5">
      <c r="A1593" s="295" t="str">
        <f t="shared" si="27"/>
        <v>Acinetobacter spp</v>
      </c>
      <c r="B1593" s="26" t="s">
        <v>72</v>
      </c>
      <c r="C1593" s="26" t="s">
        <v>72</v>
      </c>
      <c r="D1593" s="288" t="s">
        <v>1758</v>
      </c>
      <c r="E1593" s="553" t="s">
        <v>72</v>
      </c>
    </row>
    <row r="1594" spans="1:5">
      <c r="A1594" s="295" t="str">
        <f t="shared" si="27"/>
        <v>Pseudomonas aeruginosa</v>
      </c>
      <c r="B1594" s="26" t="s">
        <v>180</v>
      </c>
      <c r="C1594" s="26" t="s">
        <v>180</v>
      </c>
      <c r="D1594" s="288" t="s">
        <v>180</v>
      </c>
      <c r="E1594" s="553" t="s">
        <v>180</v>
      </c>
    </row>
    <row r="1595" spans="1:5" ht="55.2">
      <c r="A1595" s="295" t="str">
        <f t="shared" si="27"/>
        <v>Review several patient AST reports for E. coli. Is the same combination of antibiotics tested each time?</v>
      </c>
      <c r="B1595" s="26" t="s">
        <v>7109</v>
      </c>
      <c r="C1595" s="26" t="s">
        <v>4786</v>
      </c>
      <c r="D1595" s="170" t="s">
        <v>4464</v>
      </c>
      <c r="E1595" s="553" t="s">
        <v>6559</v>
      </c>
    </row>
    <row r="1596" spans="1:5" ht="110.4">
      <c r="A1596" s="295" t="str">
        <f t="shared" si="27"/>
        <v>Does the SOP clearly define how to modify the standard antibiotic panels described above based upon the body site of infection? ONLY select NA if the laboratory does not perform testing on the body site listed.</v>
      </c>
      <c r="B1596" s="26" t="s">
        <v>6720</v>
      </c>
      <c r="C1596" s="26" t="s">
        <v>6800</v>
      </c>
      <c r="D1596" s="288" t="s">
        <v>6865</v>
      </c>
      <c r="E1596" s="553" t="s">
        <v>6847</v>
      </c>
    </row>
    <row r="1597" spans="1:5">
      <c r="A1597" s="295" t="str">
        <f t="shared" si="27"/>
        <v>Urine</v>
      </c>
      <c r="B1597" s="26" t="s">
        <v>47</v>
      </c>
      <c r="C1597" s="26" t="s">
        <v>47</v>
      </c>
      <c r="D1597" s="288" t="s">
        <v>3189</v>
      </c>
      <c r="E1597" s="553" t="s">
        <v>6560</v>
      </c>
    </row>
    <row r="1598" spans="1:5">
      <c r="A1598" s="295" t="str">
        <f t="shared" si="27"/>
        <v>CSF</v>
      </c>
      <c r="B1598" s="26" t="s">
        <v>181</v>
      </c>
      <c r="C1598" s="26" t="s">
        <v>3190</v>
      </c>
      <c r="D1598" s="288" t="s">
        <v>3190</v>
      </c>
      <c r="E1598" s="553" t="s">
        <v>3190</v>
      </c>
    </row>
    <row r="1599" spans="1:5">
      <c r="A1599" s="295" t="str">
        <f t="shared" si="27"/>
        <v>Blood</v>
      </c>
      <c r="B1599" s="26" t="s">
        <v>46</v>
      </c>
      <c r="C1599" s="26" t="s">
        <v>4787</v>
      </c>
      <c r="D1599" s="288" t="s">
        <v>3191</v>
      </c>
      <c r="E1599" s="553" t="s">
        <v>6561</v>
      </c>
    </row>
    <row r="1600" spans="1:5" ht="27.6">
      <c r="A1600" s="295" t="str">
        <f t="shared" si="27"/>
        <v>CUMULATIVE ANTIBIOGRAMS</v>
      </c>
      <c r="B1600" s="26" t="s">
        <v>667</v>
      </c>
      <c r="C1600" s="26" t="s">
        <v>2463</v>
      </c>
      <c r="D1600" s="288" t="s">
        <v>3772</v>
      </c>
      <c r="E1600" s="553" t="s">
        <v>6562</v>
      </c>
    </row>
    <row r="1601" spans="1:5" ht="41.4">
      <c r="A1601" s="295" t="str">
        <f t="shared" si="27"/>
        <v>Does the lab produce a cumulative antibiogram at least annually?</v>
      </c>
      <c r="B1601" s="26" t="s">
        <v>773</v>
      </c>
      <c r="C1601" s="26" t="s">
        <v>2869</v>
      </c>
      <c r="D1601" s="288" t="s">
        <v>4465</v>
      </c>
      <c r="E1601" s="553" t="s">
        <v>6563</v>
      </c>
    </row>
    <row r="1602" spans="1:5" ht="27.6">
      <c r="A1602" s="295" t="str">
        <f t="shared" si="27"/>
        <v>If No, answer the following questions "NA"</v>
      </c>
      <c r="B1602" s="26" t="s">
        <v>749</v>
      </c>
      <c r="C1602" s="26" t="s">
        <v>2870</v>
      </c>
      <c r="D1602" s="288" t="s">
        <v>3192</v>
      </c>
      <c r="E1602" s="553" t="s">
        <v>6564</v>
      </c>
    </row>
    <row r="1603" spans="1:5" ht="41.4">
      <c r="A1603" s="295" t="str">
        <f t="shared" si="27"/>
        <v>Does the lab have a software program to produce the antibiogram?</v>
      </c>
      <c r="B1603" s="26" t="s">
        <v>902</v>
      </c>
      <c r="C1603" s="26" t="s">
        <v>4788</v>
      </c>
      <c r="D1603" s="288" t="s">
        <v>3193</v>
      </c>
      <c r="E1603" s="553" t="s">
        <v>6565</v>
      </c>
    </row>
    <row r="1604" spans="1:5" ht="55.2">
      <c r="A1604" s="295" t="str">
        <f t="shared" ref="A1604:A1667" si="28">IF(langue=1,B1604,IF(langue=2,C1604,IF(langue=3,D1604,IF(langue=4,E1604,F1604))))</f>
        <v>Review the most recent cumulative antibiogram. Does it adhere to the following CLSI M39 recommendations?</v>
      </c>
      <c r="B1604" s="26" t="s">
        <v>747</v>
      </c>
      <c r="C1604" s="26" t="s">
        <v>2871</v>
      </c>
      <c r="D1604" s="288" t="s">
        <v>4466</v>
      </c>
      <c r="E1604" s="553" t="s">
        <v>6566</v>
      </c>
    </row>
    <row r="1605" spans="1:5" ht="41.4">
      <c r="A1605" s="295" t="str">
        <f t="shared" si="28"/>
        <v>Clearly displays the inclusive date range (e.g. Jan 1, YYYY – Dec 31, YYYY)</v>
      </c>
      <c r="B1605" s="26" t="s">
        <v>190</v>
      </c>
      <c r="C1605" s="26" t="s">
        <v>6567</v>
      </c>
      <c r="D1605" s="288" t="s">
        <v>4467</v>
      </c>
      <c r="E1605" s="553" t="s">
        <v>6848</v>
      </c>
    </row>
    <row r="1606" spans="1:5" ht="27.6">
      <c r="A1606" s="295" t="str">
        <f t="shared" si="28"/>
        <v xml:space="preserve">Clearly displays the name of the hospital/facility </v>
      </c>
      <c r="B1606" s="26" t="s">
        <v>775</v>
      </c>
      <c r="C1606" s="26" t="s">
        <v>6568</v>
      </c>
      <c r="D1606" s="288" t="s">
        <v>4468</v>
      </c>
      <c r="E1606" s="553" t="s">
        <v>6569</v>
      </c>
    </row>
    <row r="1607" spans="1:5" ht="27.6">
      <c r="A1607" s="295" t="str">
        <f t="shared" si="28"/>
        <v>Data is presented as %S (not %R)</v>
      </c>
      <c r="B1607" s="26" t="s">
        <v>748</v>
      </c>
      <c r="C1607" s="26" t="s">
        <v>4789</v>
      </c>
      <c r="D1607" s="288" t="s">
        <v>4469</v>
      </c>
      <c r="E1607" s="553" t="s">
        <v>6570</v>
      </c>
    </row>
    <row r="1608" spans="1:5" ht="27.6">
      <c r="A1608" s="295" t="str">
        <f t="shared" si="28"/>
        <v>For each organism, the total N tested is displayed</v>
      </c>
      <c r="B1608" s="26" t="s">
        <v>191</v>
      </c>
      <c r="C1608" s="26" t="s">
        <v>2872</v>
      </c>
      <c r="D1608" s="170" t="s">
        <v>3194</v>
      </c>
      <c r="E1608" s="553" t="s">
        <v>6571</v>
      </c>
    </row>
    <row r="1609" spans="1:5" ht="41.4">
      <c r="A1609" s="295" t="str">
        <f t="shared" si="28"/>
        <v>Only presents data for organisms/antibiotics where the total N = 30 or more isolates</v>
      </c>
      <c r="B1609" s="26" t="s">
        <v>776</v>
      </c>
      <c r="C1609" s="26" t="s">
        <v>6572</v>
      </c>
      <c r="D1609" s="170" t="s">
        <v>4470</v>
      </c>
      <c r="E1609" s="553" t="s">
        <v>6573</v>
      </c>
    </row>
    <row r="1610" spans="1:5" ht="69">
      <c r="A1610" s="295" t="str">
        <f t="shared" si="28"/>
        <v>Are isolates from environmental cultures and screening cultures (e.g., MRSA screen, VRE screen) excluded from the analysis?</v>
      </c>
      <c r="B1610" s="26" t="s">
        <v>750</v>
      </c>
      <c r="C1610" s="26" t="s">
        <v>2873</v>
      </c>
      <c r="D1610" s="170" t="s">
        <v>4471</v>
      </c>
      <c r="E1610" s="553" t="s">
        <v>6574</v>
      </c>
    </row>
    <row r="1611" spans="1:5" ht="96.6">
      <c r="A1611" s="295" t="str">
        <f t="shared" si="28"/>
        <v>Is the lab able to de-duplicate the data, so that only the first isolate of a given species per patient, per analysis period is included, irrespective of the body site of recovery?</v>
      </c>
      <c r="B1611" s="26" t="s">
        <v>192</v>
      </c>
      <c r="C1611" s="26" t="s">
        <v>6575</v>
      </c>
      <c r="D1611" s="288" t="s">
        <v>4472</v>
      </c>
      <c r="E1611" s="553" t="s">
        <v>6576</v>
      </c>
    </row>
    <row r="1612" spans="1:5" ht="41.4">
      <c r="A1612" s="295" t="str">
        <f t="shared" si="28"/>
        <v>Is the lab able to separate inpatient data from outpatient data?</v>
      </c>
      <c r="B1612" s="26" t="s">
        <v>7110</v>
      </c>
      <c r="C1612" s="26" t="s">
        <v>2874</v>
      </c>
      <c r="D1612" s="288" t="s">
        <v>4473</v>
      </c>
      <c r="E1612" s="553" t="s">
        <v>6577</v>
      </c>
    </row>
    <row r="1613" spans="1:5" ht="55.2">
      <c r="A1613" s="295" t="str">
        <f t="shared" si="28"/>
        <v>If the lab serves multiple hospitals/facilities, are they able to separate the data by Facility?</v>
      </c>
      <c r="B1613" s="26" t="s">
        <v>1640</v>
      </c>
      <c r="C1613" s="26" t="s">
        <v>6578</v>
      </c>
      <c r="D1613" s="288" t="s">
        <v>4474</v>
      </c>
      <c r="E1613" s="553" t="s">
        <v>6579</v>
      </c>
    </row>
    <row r="1614" spans="1:5" ht="55.2">
      <c r="A1614" s="295" t="str">
        <f t="shared" si="28"/>
        <v>Is the cumulative antibiogram reviewed annually by either an Antibiotic Stewardship or a Pharmacy &amp; Therapeutics Committee?</v>
      </c>
      <c r="B1614" s="26" t="s">
        <v>1691</v>
      </c>
      <c r="C1614" s="26" t="s">
        <v>6580</v>
      </c>
      <c r="D1614" s="288" t="s">
        <v>4475</v>
      </c>
      <c r="E1614" s="553" t="s">
        <v>6581</v>
      </c>
    </row>
    <row r="1615" spans="1:5" ht="27.6">
      <c r="A1615" s="295" t="str">
        <f t="shared" si="28"/>
        <v>Is the cumulative antibiogram distributed to all physicians?</v>
      </c>
      <c r="B1615" s="26" t="s">
        <v>774</v>
      </c>
      <c r="C1615" s="26" t="s">
        <v>2875</v>
      </c>
      <c r="D1615" s="288" t="s">
        <v>4476</v>
      </c>
      <c r="E1615" s="553" t="s">
        <v>6582</v>
      </c>
    </row>
    <row r="1616" spans="1:5">
      <c r="A1616" s="295" t="str">
        <f t="shared" si="28"/>
        <v>AST POLICY</v>
      </c>
      <c r="B1616" s="26" t="s">
        <v>1602</v>
      </c>
      <c r="C1616" s="26" t="s">
        <v>6583</v>
      </c>
      <c r="D1616" s="288" t="s">
        <v>4477</v>
      </c>
      <c r="E1616" s="553" t="s">
        <v>6584</v>
      </c>
    </row>
    <row r="1617" spans="1:5" ht="69">
      <c r="A1617" s="295" t="str">
        <f t="shared" si="28"/>
        <v>Does lab policy primarily determine which isolates receive AST, or is AST performed only when it is specifically requested by the doctor?</v>
      </c>
      <c r="B1617" s="26" t="s">
        <v>7111</v>
      </c>
      <c r="C1617" s="26" t="s">
        <v>6585</v>
      </c>
      <c r="D1617" s="288" t="s">
        <v>4478</v>
      </c>
      <c r="E1617" s="553" t="s">
        <v>6586</v>
      </c>
    </row>
    <row r="1618" spans="1:5" ht="69">
      <c r="A1618" s="295" t="str">
        <f t="shared" si="28"/>
        <v>1: Lab policy primarily determines - 2: Only when requested by clinician - 3: Equal mix of both</v>
      </c>
      <c r="B1618" s="26" t="s">
        <v>2083</v>
      </c>
      <c r="C1618" s="26" t="s">
        <v>6587</v>
      </c>
      <c r="D1618" s="288" t="s">
        <v>4479</v>
      </c>
      <c r="E1618" s="553" t="s">
        <v>6588</v>
      </c>
    </row>
    <row r="1619" spans="1:5" ht="96.6">
      <c r="A1619" s="295" t="str">
        <f t="shared" si="28"/>
        <v>Does lab policy primarily determine which antibiotics to test and report, or does the lab only test and report the antibiotics specifically requested by the physician?</v>
      </c>
      <c r="B1619" s="26" t="s">
        <v>2868</v>
      </c>
      <c r="C1619" s="26" t="s">
        <v>6589</v>
      </c>
      <c r="D1619" s="288" t="s">
        <v>4480</v>
      </c>
      <c r="E1619" s="553" t="s">
        <v>6590</v>
      </c>
    </row>
    <row r="1620" spans="1:5" ht="69">
      <c r="A1620" s="295" t="str">
        <f t="shared" si="28"/>
        <v>1: Lab policy primarily determines - 2: Only the antibiotics requested by physician - 3: Equal mix of both</v>
      </c>
      <c r="B1620" s="26" t="s">
        <v>2084</v>
      </c>
      <c r="C1620" s="26" t="s">
        <v>6591</v>
      </c>
      <c r="D1620" s="288" t="s">
        <v>4481</v>
      </c>
      <c r="E1620" s="553" t="s">
        <v>6592</v>
      </c>
    </row>
    <row r="1621" spans="1:5" ht="138">
      <c r="A1621" s="295" t="str">
        <f t="shared" si="28"/>
        <v>"Cascade reporting” is a strategy of selective reporting of AST results in which secondary agents (e.g., broader spectrum, more costly) may be suppressed or excluded from the patient report if an organism is susceptible to primary agents within the same drug class.</v>
      </c>
      <c r="B1621" s="26" t="s">
        <v>1693</v>
      </c>
      <c r="C1621" s="26" t="s">
        <v>6593</v>
      </c>
      <c r="D1621" s="170" t="s">
        <v>4482</v>
      </c>
      <c r="E1621" s="553" t="s">
        <v>6594</v>
      </c>
    </row>
    <row r="1622" spans="1:5" ht="27.6">
      <c r="A1622" s="295" t="str">
        <f t="shared" si="28"/>
        <v xml:space="preserve"> Does the lab practice “cascade reporting”?</v>
      </c>
      <c r="B1622" s="26" t="s">
        <v>1692</v>
      </c>
      <c r="C1622" s="26" t="s">
        <v>2876</v>
      </c>
      <c r="D1622" s="288" t="s">
        <v>4483</v>
      </c>
      <c r="E1622" s="553" t="s">
        <v>6595</v>
      </c>
    </row>
    <row r="1623" spans="1:5" ht="27.6">
      <c r="A1623" s="295" t="str">
        <f t="shared" si="28"/>
        <v>If no, answer NA to next question</v>
      </c>
      <c r="B1623" s="26" t="s">
        <v>189</v>
      </c>
      <c r="C1623" s="26" t="s">
        <v>2853</v>
      </c>
      <c r="D1623" s="288" t="s">
        <v>3171</v>
      </c>
      <c r="E1623" s="553" t="s">
        <v>6502</v>
      </c>
    </row>
    <row r="1624" spans="1:5" ht="110.4">
      <c r="A1624" s="295" t="str">
        <f t="shared" si="28"/>
        <v>With cascade reporting, there is a risk that the AST results excluded from the patient report may also be excluded from the main data repository or LIS. This can lead to highly biased AMR surveillance and cumulative antibiogram statistics.</v>
      </c>
      <c r="B1624" s="26" t="s">
        <v>1694</v>
      </c>
      <c r="C1624" s="26" t="s">
        <v>6596</v>
      </c>
      <c r="D1624" s="288" t="s">
        <v>4484</v>
      </c>
      <c r="E1624" s="553" t="s">
        <v>6597</v>
      </c>
    </row>
    <row r="1625" spans="1:5" ht="82.8">
      <c r="A1625" s="295" t="str">
        <f t="shared" si="28"/>
        <v>If the lab practices cascade reporting, is it done in a way which ensures that the AST results excluded from the patient report are NOT excluded from the LIS or other main data repository?</v>
      </c>
      <c r="B1625" s="26" t="s">
        <v>1695</v>
      </c>
      <c r="C1625" s="26" t="s">
        <v>6598</v>
      </c>
      <c r="D1625" s="288" t="s">
        <v>4485</v>
      </c>
      <c r="E1625" s="553" t="s">
        <v>6599</v>
      </c>
    </row>
    <row r="1626" spans="1:5" ht="27.6">
      <c r="A1626" s="295" t="str">
        <f t="shared" si="28"/>
        <v>Does the hospital have an Antibiotic Stewardship Committee?</v>
      </c>
      <c r="B1626" s="26" t="s">
        <v>1687</v>
      </c>
      <c r="C1626" s="26" t="s">
        <v>2877</v>
      </c>
      <c r="D1626" s="288" t="s">
        <v>4486</v>
      </c>
      <c r="E1626" s="553" t="s">
        <v>6600</v>
      </c>
    </row>
    <row r="1627" spans="1:5" ht="41.4">
      <c r="A1627" s="295" t="str">
        <f t="shared" si="28"/>
        <v>If the hospital has an Antibiotic Stewardship Committee, is a microbiologist a member?</v>
      </c>
      <c r="B1627" s="26" t="s">
        <v>7112</v>
      </c>
      <c r="C1627" s="26" t="s">
        <v>2878</v>
      </c>
      <c r="D1627" s="170" t="s">
        <v>4487</v>
      </c>
      <c r="E1627" s="553" t="s">
        <v>6601</v>
      </c>
    </row>
    <row r="1628" spans="1:5" ht="41.4">
      <c r="A1628" s="295" t="str">
        <f t="shared" si="28"/>
        <v>Does the hospital have a Pharmacy and Therapeutics Committee?</v>
      </c>
      <c r="B1628" s="26" t="s">
        <v>1688</v>
      </c>
      <c r="C1628" s="26" t="s">
        <v>6602</v>
      </c>
      <c r="D1628" s="170" t="s">
        <v>4488</v>
      </c>
      <c r="E1628" s="553" t="s">
        <v>6603</v>
      </c>
    </row>
    <row r="1629" spans="1:5" ht="41.4">
      <c r="A1629" s="295" t="str">
        <f t="shared" si="28"/>
        <v>If the hospital has a Pharmacy and Therapeutics Committee, is a microbiologist a member?</v>
      </c>
      <c r="B1629" s="26" t="s">
        <v>7113</v>
      </c>
      <c r="C1629" s="26" t="s">
        <v>4790</v>
      </c>
      <c r="D1629" s="170" t="s">
        <v>4489</v>
      </c>
      <c r="E1629" s="553" t="s">
        <v>6604</v>
      </c>
    </row>
    <row r="1630" spans="1:5" ht="124.2">
      <c r="A1630" s="295" t="str">
        <f t="shared" si="28"/>
        <v>Does the hospital's Antibiotic Stewardship or Pharmacy and Therapeutic Committee meet at least annually to review national or international AST panel recommendations and modify them based on the hospital's formulary and cumulative antibiogram?</v>
      </c>
      <c r="B1630" s="26" t="s">
        <v>1690</v>
      </c>
      <c r="C1630" s="26" t="s">
        <v>6605</v>
      </c>
      <c r="D1630" s="170" t="s">
        <v>4490</v>
      </c>
      <c r="E1630" s="553" t="s">
        <v>6606</v>
      </c>
    </row>
    <row r="1631" spans="1:5">
      <c r="A1631" s="295" t="str">
        <f t="shared" si="28"/>
        <v>SAFETY</v>
      </c>
      <c r="B1631" s="26" t="s">
        <v>6607</v>
      </c>
      <c r="C1631" s="26" t="s">
        <v>2431</v>
      </c>
      <c r="D1631" s="288" t="s">
        <v>3697</v>
      </c>
      <c r="E1631" s="553" t="s">
        <v>4996</v>
      </c>
    </row>
    <row r="1632" spans="1:5" ht="69">
      <c r="A1632" s="295" t="str">
        <f t="shared" si="28"/>
        <v xml:space="preserve">To be completed if there is no record of another safety audit in the past 12 months. This is not intended to be a comprehensive safety audit. </v>
      </c>
      <c r="B1632" s="26" t="s">
        <v>266</v>
      </c>
      <c r="C1632" s="26" t="s">
        <v>2879</v>
      </c>
      <c r="D1632" s="288" t="s">
        <v>4491</v>
      </c>
      <c r="E1632" s="553" t="s">
        <v>6608</v>
      </c>
    </row>
    <row r="1633" spans="1:5">
      <c r="A1633" s="295" t="str">
        <f t="shared" si="28"/>
        <v>BIOSAFETY EQUIPMENT</v>
      </c>
      <c r="B1633" s="26" t="s">
        <v>936</v>
      </c>
      <c r="C1633" s="26" t="s">
        <v>2464</v>
      </c>
      <c r="D1633" s="288" t="s">
        <v>2944</v>
      </c>
      <c r="E1633" s="553" t="s">
        <v>5153</v>
      </c>
    </row>
    <row r="1634" spans="1:5" ht="27.6">
      <c r="A1634" s="295" t="str">
        <f t="shared" si="28"/>
        <v>Is standard safety equipment available and in use in the laboratory?</v>
      </c>
      <c r="B1634" s="26" t="s">
        <v>73</v>
      </c>
      <c r="C1634" s="26" t="s">
        <v>2880</v>
      </c>
      <c r="D1634" s="288" t="s">
        <v>3195</v>
      </c>
      <c r="E1634" s="553" t="s">
        <v>6609</v>
      </c>
    </row>
    <row r="1635" spans="1:5" ht="27.6">
      <c r="A1635" s="295" t="str">
        <f t="shared" si="28"/>
        <v>Biosafety cabinets (Class IIA)</v>
      </c>
      <c r="B1635" s="26" t="s">
        <v>1972</v>
      </c>
      <c r="C1635" s="26" t="s">
        <v>6610</v>
      </c>
      <c r="D1635" s="288" t="s">
        <v>4492</v>
      </c>
      <c r="E1635" s="553" t="s">
        <v>6611</v>
      </c>
    </row>
    <row r="1636" spans="1:5" ht="27.6">
      <c r="A1636" s="295" t="str">
        <f t="shared" si="28"/>
        <v>Covers on each centrifuge bucket</v>
      </c>
      <c r="B1636" s="26" t="s">
        <v>1977</v>
      </c>
      <c r="C1636" s="26" t="s">
        <v>6612</v>
      </c>
      <c r="D1636" s="288" t="s">
        <v>4493</v>
      </c>
      <c r="E1636" s="553" t="s">
        <v>6613</v>
      </c>
    </row>
    <row r="1637" spans="1:5">
      <c r="A1637" s="295" t="str">
        <f t="shared" si="28"/>
        <v>Cover over centrifuge rotor</v>
      </c>
      <c r="B1637" s="26" t="s">
        <v>1978</v>
      </c>
      <c r="C1637" s="26" t="s">
        <v>6614</v>
      </c>
      <c r="D1637" s="288" t="s">
        <v>4494</v>
      </c>
      <c r="E1637" s="553" t="s">
        <v>6615</v>
      </c>
    </row>
    <row r="1638" spans="1:5">
      <c r="A1638" s="295" t="str">
        <f t="shared" si="28"/>
        <v>Hand-washing station</v>
      </c>
      <c r="B1638" s="26" t="s">
        <v>1973</v>
      </c>
      <c r="C1638" s="26" t="s">
        <v>6616</v>
      </c>
      <c r="D1638" s="288" t="s">
        <v>3196</v>
      </c>
      <c r="E1638" s="553" t="s">
        <v>6617</v>
      </c>
    </row>
    <row r="1639" spans="1:5">
      <c r="A1639" s="295" t="str">
        <f t="shared" si="28"/>
        <v>Eyewash station/bottle</v>
      </c>
      <c r="B1639" s="26" t="s">
        <v>1974</v>
      </c>
      <c r="C1639" s="26" t="s">
        <v>6618</v>
      </c>
      <c r="D1639" s="288" t="s">
        <v>3197</v>
      </c>
      <c r="E1639" s="553" t="s">
        <v>6619</v>
      </c>
    </row>
    <row r="1640" spans="1:5">
      <c r="A1640" s="295" t="str">
        <f t="shared" si="28"/>
        <v>Sharps containers</v>
      </c>
      <c r="B1640" s="26" t="s">
        <v>1975</v>
      </c>
      <c r="C1640" s="26" t="s">
        <v>2881</v>
      </c>
      <c r="D1640" s="288" t="s">
        <v>3198</v>
      </c>
      <c r="E1640" s="553" t="s">
        <v>6620</v>
      </c>
    </row>
    <row r="1641" spans="1:5" ht="41.4">
      <c r="A1641" s="295" t="str">
        <f t="shared" si="28"/>
        <v>Flame cabinet (for securely storing flammable liquids, e.g. ethanol)</v>
      </c>
      <c r="B1641" s="26" t="s">
        <v>1976</v>
      </c>
      <c r="C1641" s="26" t="s">
        <v>6621</v>
      </c>
      <c r="D1641" s="288" t="s">
        <v>4495</v>
      </c>
      <c r="E1641" s="553" t="s">
        <v>6622</v>
      </c>
    </row>
    <row r="1642" spans="1:5">
      <c r="A1642" s="295" t="str">
        <f t="shared" si="28"/>
        <v>Spill kit</v>
      </c>
      <c r="B1642" s="26" t="s">
        <v>1979</v>
      </c>
      <c r="C1642" s="26" t="s">
        <v>4791</v>
      </c>
      <c r="D1642" s="288" t="s">
        <v>3199</v>
      </c>
      <c r="E1642" s="553" t="s">
        <v>6623</v>
      </c>
    </row>
    <row r="1643" spans="1:5">
      <c r="A1643" s="295" t="str">
        <f t="shared" si="28"/>
        <v>First aid kit</v>
      </c>
      <c r="B1643" s="26" t="s">
        <v>1980</v>
      </c>
      <c r="C1643" s="26" t="s">
        <v>2882</v>
      </c>
      <c r="D1643" s="288" t="s">
        <v>3200</v>
      </c>
      <c r="E1643" s="553" t="s">
        <v>6624</v>
      </c>
    </row>
    <row r="1644" spans="1:5" ht="248.4">
      <c r="A1644" s="295" t="str">
        <f t="shared" si="28"/>
        <v xml:space="preserve">Standard: It is the responsibility of laboratory management to ensure the laboratory is equipped with standard safety equipment. The list above is a partial list of necessary items. Biosafety cabinets should be in place and in use and all centrifuges should have covers. Hand washing stations should be designated and equipped and eyewash stations (or an acceptable alternative method of eye cleansing) should be available and operable. Spill kits and first aid kits should be kept in a designated place and checked regularly for readiness. </v>
      </c>
      <c r="B1644" s="26" t="s">
        <v>245</v>
      </c>
      <c r="C1644" s="26" t="s">
        <v>6625</v>
      </c>
      <c r="D1644" s="170" t="s">
        <v>4496</v>
      </c>
      <c r="E1644" s="553" t="s">
        <v>6626</v>
      </c>
    </row>
    <row r="1645" spans="1:5" ht="179.4">
      <c r="A1645" s="295" t="str">
        <f t="shared" si="28"/>
        <v>Standard: ISO 15189: 5.2.10  All syringes, needles, lancets, or other bloodletting devices capable of transmitting infection must be used only once and discarded in puncture resistant containers that are not overfilled. Sharps containers should be clearly marked to warn handlers of the potential hazard and should be located in areas where sharps are commonly used.</v>
      </c>
      <c r="B1645" s="26" t="s">
        <v>246</v>
      </c>
      <c r="C1645" s="26" t="s">
        <v>4792</v>
      </c>
      <c r="D1645" s="288" t="s">
        <v>4497</v>
      </c>
      <c r="E1645" s="553" t="s">
        <v>6627</v>
      </c>
    </row>
    <row r="1646" spans="1:5" ht="41.4">
      <c r="A1646" s="295" t="str">
        <f t="shared" si="28"/>
        <v xml:space="preserve">Have all biosafety cabinets been recertified within a year of today’s date? </v>
      </c>
      <c r="B1646" s="26" t="s">
        <v>718</v>
      </c>
      <c r="C1646" s="26" t="s">
        <v>6628</v>
      </c>
      <c r="D1646" s="170" t="s">
        <v>4498</v>
      </c>
      <c r="E1646" s="553" t="s">
        <v>6629</v>
      </c>
    </row>
    <row r="1647" spans="1:5" ht="124.2">
      <c r="A1647" s="295" t="str">
        <f t="shared" si="28"/>
        <v>Standard: A biosafety cabinet should be used for to prevent aerosol exposure to contagious specimens or organisms. For proper functioning and full protection, biosafety cabinets require periodic maintenance and should be serviced accordingly.</v>
      </c>
      <c r="B1647" s="26" t="s">
        <v>247</v>
      </c>
      <c r="C1647" s="26" t="s">
        <v>6630</v>
      </c>
      <c r="D1647" s="288" t="s">
        <v>4499</v>
      </c>
      <c r="E1647" s="553" t="s">
        <v>6631</v>
      </c>
    </row>
    <row r="1648" spans="1:5" ht="27.6">
      <c r="A1648" s="295" t="str">
        <f t="shared" si="28"/>
        <v>PERSONAL PROTECTIVE EQUIPMENT</v>
      </c>
      <c r="B1648" s="26" t="s">
        <v>937</v>
      </c>
      <c r="C1648" s="26" t="s">
        <v>2466</v>
      </c>
      <c r="D1648" s="288" t="s">
        <v>2945</v>
      </c>
      <c r="E1648" s="553" t="s">
        <v>5156</v>
      </c>
    </row>
    <row r="1649" spans="1:5" ht="41.4">
      <c r="A1649" s="295" t="str">
        <f t="shared" si="28"/>
        <v>Is all necessary personal protective equipment (PPE) available for BSL2?</v>
      </c>
      <c r="B1649" s="26" t="s">
        <v>1863</v>
      </c>
      <c r="C1649" s="26" t="s">
        <v>6632</v>
      </c>
      <c r="D1649" s="288" t="s">
        <v>4500</v>
      </c>
      <c r="E1649" s="553" t="s">
        <v>6633</v>
      </c>
    </row>
    <row r="1650" spans="1:5">
      <c r="A1650" s="295" t="str">
        <f t="shared" si="28"/>
        <v>Gowns</v>
      </c>
      <c r="B1650" s="26" t="s">
        <v>1860</v>
      </c>
      <c r="C1650" s="26" t="s">
        <v>4793</v>
      </c>
      <c r="D1650" s="288" t="s">
        <v>4501</v>
      </c>
      <c r="E1650" s="553" t="s">
        <v>6634</v>
      </c>
    </row>
    <row r="1651" spans="1:5">
      <c r="A1651" s="295" t="str">
        <f t="shared" si="28"/>
        <v>Gloves</v>
      </c>
      <c r="B1651" s="26" t="s">
        <v>1859</v>
      </c>
      <c r="C1651" s="26" t="s">
        <v>2883</v>
      </c>
      <c r="D1651" s="288" t="s">
        <v>3201</v>
      </c>
      <c r="E1651" s="553" t="s">
        <v>6635</v>
      </c>
    </row>
    <row r="1652" spans="1:5">
      <c r="A1652" s="295" t="str">
        <f t="shared" si="28"/>
        <v>Eye protection</v>
      </c>
      <c r="B1652" s="26" t="s">
        <v>7114</v>
      </c>
      <c r="C1652" s="26" t="s">
        <v>6636</v>
      </c>
      <c r="D1652" s="288" t="s">
        <v>3202</v>
      </c>
      <c r="E1652" s="553" t="s">
        <v>6637</v>
      </c>
    </row>
    <row r="1653" spans="1:5" ht="41.4">
      <c r="A1653" s="295" t="str">
        <f t="shared" si="28"/>
        <v>Aerosol face protection (respirator, face shield, or splatter guard)</v>
      </c>
      <c r="B1653" s="26" t="s">
        <v>7115</v>
      </c>
      <c r="C1653" s="26" t="s">
        <v>4794</v>
      </c>
      <c r="D1653" s="288" t="s">
        <v>4502</v>
      </c>
      <c r="E1653" s="553" t="s">
        <v>6638</v>
      </c>
    </row>
    <row r="1654" spans="1:5" ht="41.4">
      <c r="A1654" s="295" t="str">
        <f t="shared" si="28"/>
        <v>Does lab policy require microbiology staff to wear close-toed shoes?</v>
      </c>
      <c r="B1654" s="26" t="s">
        <v>75</v>
      </c>
      <c r="C1654" s="26" t="s">
        <v>2884</v>
      </c>
      <c r="D1654" s="288" t="s">
        <v>4503</v>
      </c>
      <c r="E1654" s="553" t="s">
        <v>6639</v>
      </c>
    </row>
    <row r="1655" spans="1:5" ht="41.4">
      <c r="A1655" s="295" t="str">
        <f t="shared" si="28"/>
        <v>Is PPE utilized appropriately and consistently by laboratory staff? (Observe)</v>
      </c>
      <c r="B1655" s="26" t="s">
        <v>76</v>
      </c>
      <c r="C1655" s="26" t="s">
        <v>4795</v>
      </c>
      <c r="D1655" s="288" t="s">
        <v>4504</v>
      </c>
      <c r="E1655" s="553" t="s">
        <v>6640</v>
      </c>
    </row>
    <row r="1656" spans="1:5">
      <c r="A1656" s="295" t="str">
        <f t="shared" si="28"/>
        <v>1: Yes - 2: Partial - 3: No</v>
      </c>
      <c r="B1656" s="26" t="s">
        <v>106</v>
      </c>
      <c r="C1656" s="26" t="s">
        <v>4714</v>
      </c>
      <c r="D1656" s="288" t="s">
        <v>3087</v>
      </c>
      <c r="E1656" s="553" t="s">
        <v>5887</v>
      </c>
    </row>
    <row r="1657" spans="1:5" ht="193.2">
      <c r="A1657" s="295" t="str">
        <f t="shared" si="28"/>
        <v>Standard: Management is responsible to provide appropriate personal protective equipment— gloves, lab coats, eye protection, shields, etc. — in useable condition. Laboratory staff must utilize personal protective equipment in the laboratory at all times. Protective clothing should not be worn outside the laboratory. Gloves should be replaced immediately when torn or contaminated and not washed for reuse</v>
      </c>
      <c r="B1657" s="26" t="s">
        <v>248</v>
      </c>
      <c r="C1657" s="26" t="s">
        <v>6641</v>
      </c>
      <c r="D1657" s="288" t="s">
        <v>4505</v>
      </c>
      <c r="E1657" s="553" t="s">
        <v>6642</v>
      </c>
    </row>
    <row r="1658" spans="1:5">
      <c r="A1658" s="295" t="str">
        <f t="shared" si="28"/>
        <v>BIOSAFETY BEHAVIORS</v>
      </c>
      <c r="B1658" s="26" t="s">
        <v>938</v>
      </c>
      <c r="C1658" s="26" t="s">
        <v>2465</v>
      </c>
      <c r="D1658" s="288" t="s">
        <v>3774</v>
      </c>
      <c r="E1658" s="553" t="s">
        <v>5155</v>
      </c>
    </row>
    <row r="1659" spans="1:5" ht="41.4">
      <c r="A1659" s="295" t="str">
        <f t="shared" si="28"/>
        <v>Does lab policy prohibit eating, drinking, and smoking in the laboratory?</v>
      </c>
      <c r="B1659" s="26" t="s">
        <v>74</v>
      </c>
      <c r="C1659" s="26" t="s">
        <v>2885</v>
      </c>
      <c r="D1659" s="288" t="s">
        <v>4506</v>
      </c>
      <c r="E1659" s="553" t="s">
        <v>6643</v>
      </c>
    </row>
    <row r="1660" spans="1:5" ht="41.4">
      <c r="A1660" s="295" t="str">
        <f t="shared" si="28"/>
        <v>Observe the refrigerators and freezers where media and reagents are stored. Are they:</v>
      </c>
      <c r="B1660" s="26" t="s">
        <v>25</v>
      </c>
      <c r="C1660" s="26" t="s">
        <v>4796</v>
      </c>
      <c r="D1660" s="288" t="s">
        <v>4507</v>
      </c>
      <c r="E1660" s="553" t="s">
        <v>6644</v>
      </c>
    </row>
    <row r="1661" spans="1:5" ht="27.6">
      <c r="A1661" s="295" t="str">
        <f t="shared" si="28"/>
        <v>Designated specifically for storage of media/reagents?</v>
      </c>
      <c r="B1661" s="26" t="s">
        <v>668</v>
      </c>
      <c r="C1661" s="26" t="s">
        <v>4797</v>
      </c>
      <c r="D1661" s="288" t="s">
        <v>4508</v>
      </c>
      <c r="E1661" s="553" t="s">
        <v>6645</v>
      </c>
    </row>
    <row r="1662" spans="1:5">
      <c r="A1662" s="295" t="str">
        <f t="shared" si="28"/>
        <v>Free of staff food items?</v>
      </c>
      <c r="B1662" s="26" t="s">
        <v>316</v>
      </c>
      <c r="C1662" s="26" t="s">
        <v>4798</v>
      </c>
      <c r="D1662" s="288" t="s">
        <v>4509</v>
      </c>
      <c r="E1662" s="553" t="s">
        <v>6646</v>
      </c>
    </row>
    <row r="1663" spans="1:5">
      <c r="A1663" s="295" t="str">
        <f t="shared" si="28"/>
        <v>Free of patient samples?</v>
      </c>
      <c r="B1663" s="26" t="s">
        <v>317</v>
      </c>
      <c r="C1663" s="26" t="s">
        <v>4799</v>
      </c>
      <c r="D1663" s="288" t="s">
        <v>4510</v>
      </c>
      <c r="E1663" s="553" t="s">
        <v>6647</v>
      </c>
    </row>
    <row r="1664" spans="1:5">
      <c r="A1664" s="295" t="str">
        <f t="shared" si="28"/>
        <v>Well organized and free of clutter?</v>
      </c>
      <c r="B1664" s="26" t="s">
        <v>318</v>
      </c>
      <c r="C1664" s="26" t="s">
        <v>6648</v>
      </c>
      <c r="D1664" s="288" t="s">
        <v>4511</v>
      </c>
      <c r="E1664" s="553" t="s">
        <v>6649</v>
      </c>
    </row>
    <row r="1665" spans="1:5" ht="55.2">
      <c r="A1665" s="295" t="str">
        <f t="shared" si="28"/>
        <v>Are all hazardous chemicals stored appropriately (acids separate from alkaline; flammables in a flame cabinet)?</v>
      </c>
      <c r="B1665" s="26" t="s">
        <v>1883</v>
      </c>
      <c r="C1665" s="26" t="s">
        <v>6650</v>
      </c>
      <c r="D1665" s="288" t="s">
        <v>4512</v>
      </c>
      <c r="E1665" s="553" t="s">
        <v>6651</v>
      </c>
    </row>
    <row r="1666" spans="1:5" ht="41.4">
      <c r="A1666" s="295" t="str">
        <f t="shared" si="28"/>
        <v xml:space="preserve">Is work area (bench and hood) disinfection documented daily? </v>
      </c>
      <c r="B1666" s="26" t="s">
        <v>674</v>
      </c>
      <c r="C1666" s="26" t="s">
        <v>4800</v>
      </c>
      <c r="D1666" s="288" t="s">
        <v>4513</v>
      </c>
      <c r="E1666" s="553" t="s">
        <v>6652</v>
      </c>
    </row>
    <row r="1667" spans="1:5" ht="151.80000000000001">
      <c r="A1667" s="295" t="str">
        <f t="shared" si="28"/>
        <v>Standard: ISO 15189: 5.2.10 The work area should be regularly inspected for cleanliness and spills. An appropriate disinfectant should be used. At a minimum, all benchtops and working surfaces should be disinfected at the beginning and end of every shift. All spills should be contained immediately and the work surfaces disinfected.</v>
      </c>
      <c r="B1667" s="26" t="s">
        <v>7116</v>
      </c>
      <c r="C1667" s="26" t="s">
        <v>6653</v>
      </c>
      <c r="D1667" s="288" t="s">
        <v>4514</v>
      </c>
      <c r="E1667" s="553" t="s">
        <v>6654</v>
      </c>
    </row>
    <row r="1668" spans="1:5" ht="27.6">
      <c r="A1668" s="295" t="str">
        <f t="shared" ref="A1668:A1674" si="29">IF(langue=1,B1668,IF(langue=2,C1668,IF(langue=3,D1668,IF(langue=4,E1668,F1668))))</f>
        <v>BIOSAFETY DOCUMENTATION AND TRAINING</v>
      </c>
      <c r="B1668" s="26" t="s">
        <v>939</v>
      </c>
      <c r="C1668" s="26" t="s">
        <v>4801</v>
      </c>
      <c r="D1668" s="288" t="s">
        <v>2946</v>
      </c>
      <c r="E1668" s="553" t="s">
        <v>6655</v>
      </c>
    </row>
    <row r="1669" spans="1:5" ht="55.2">
      <c r="A1669" s="295" t="str">
        <f t="shared" si="29"/>
        <v>Is a safety/biosafety manual available in the laboratory and easily accessible to all staff?</v>
      </c>
      <c r="B1669" s="26" t="s">
        <v>1880</v>
      </c>
      <c r="C1669" s="26" t="s">
        <v>2886</v>
      </c>
      <c r="D1669" s="288" t="s">
        <v>4515</v>
      </c>
      <c r="E1669" s="553" t="s">
        <v>6656</v>
      </c>
    </row>
    <row r="1670" spans="1:5" ht="41.4">
      <c r="A1670" s="295" t="str">
        <f t="shared" si="29"/>
        <v>Is a training module in safety/biosafety available in the laboratory?</v>
      </c>
      <c r="B1670" s="26" t="s">
        <v>1858</v>
      </c>
      <c r="C1670" s="26" t="s">
        <v>2887</v>
      </c>
      <c r="D1670" s="288" t="s">
        <v>4516</v>
      </c>
      <c r="E1670" s="553" t="s">
        <v>6657</v>
      </c>
    </row>
    <row r="1671" spans="1:5" ht="82.8">
      <c r="A1671" s="295" t="str">
        <f t="shared" si="29"/>
        <v>Is there documentation demonstrating that an annual safety/biosafety refresher course is conducted for all staff handling specimens, isolates, or chemicals?</v>
      </c>
      <c r="B1671" s="26" t="s">
        <v>1884</v>
      </c>
      <c r="C1671" s="26" t="s">
        <v>6658</v>
      </c>
      <c r="D1671" s="288" t="s">
        <v>4517</v>
      </c>
      <c r="E1671" s="553" t="s">
        <v>6659</v>
      </c>
    </row>
    <row r="1672" spans="1:5" ht="55.2">
      <c r="A1672" s="295" t="str">
        <f t="shared" si="29"/>
        <v>Is there documentation demonstrating that accident/incident investigations are systematically conducted?</v>
      </c>
      <c r="B1672" s="26" t="s">
        <v>1882</v>
      </c>
      <c r="C1672" s="26" t="s">
        <v>2888</v>
      </c>
      <c r="D1672" s="288" t="s">
        <v>4518</v>
      </c>
      <c r="E1672" s="553" t="s">
        <v>6660</v>
      </c>
    </row>
    <row r="1673" spans="1:5" ht="55.2">
      <c r="A1673" s="295" t="str">
        <f t="shared" si="29"/>
        <v>Are risk assessments conducted annually and each time a new analysis/technology/equipment is introduced?</v>
      </c>
      <c r="B1673" s="26" t="s">
        <v>1881</v>
      </c>
      <c r="C1673" s="26" t="s">
        <v>2889</v>
      </c>
      <c r="D1673" s="288" t="s">
        <v>4519</v>
      </c>
      <c r="E1673" s="553" t="s">
        <v>6661</v>
      </c>
    </row>
    <row r="1674" spans="1:5" ht="55.2">
      <c r="A1674" s="295" t="str">
        <f t="shared" si="29"/>
        <v>Refer to the User Guide for Export instructions. Failure to follow directions will result in major errors.</v>
      </c>
      <c r="B1674" s="26" t="s">
        <v>7264</v>
      </c>
      <c r="C1674" s="402" t="s">
        <v>7267</v>
      </c>
      <c r="D1674" s="401" t="s">
        <v>7265</v>
      </c>
      <c r="E1674" s="555" t="s">
        <v>7266</v>
      </c>
    </row>
    <row r="1675" spans="1:5">
      <c r="A1675" s="295"/>
      <c r="D1675" s="288"/>
    </row>
    <row r="1676" spans="1:5">
      <c r="A1676" s="295"/>
      <c r="D1676" s="288"/>
    </row>
    <row r="1677" spans="1:5">
      <c r="A1677" s="295"/>
      <c r="D1677" s="288"/>
      <c r="E1677" s="562"/>
    </row>
    <row r="1678" spans="1:5">
      <c r="A1678" s="295"/>
      <c r="D1678" s="288"/>
      <c r="E1678" s="562"/>
    </row>
    <row r="1679" spans="1:5">
      <c r="A1679" s="295"/>
      <c r="D1679" s="288"/>
      <c r="E1679" s="562"/>
    </row>
    <row r="1680" spans="1:5">
      <c r="A1680" s="295"/>
      <c r="D1680" s="288"/>
      <c r="E1680" s="562"/>
    </row>
    <row r="1681" spans="1:5">
      <c r="A1681" s="295"/>
      <c r="D1681" s="288"/>
      <c r="E1681" s="562"/>
    </row>
    <row r="1682" spans="1:5">
      <c r="A1682" s="295"/>
      <c r="D1682" s="288"/>
      <c r="E1682" s="562"/>
    </row>
    <row r="1683" spans="1:5">
      <c r="A1683" s="295"/>
      <c r="D1683" s="288"/>
      <c r="E1683" s="562"/>
    </row>
    <row r="1684" spans="1:5">
      <c r="A1684" s="295"/>
      <c r="D1684" s="288"/>
      <c r="E1684" s="562"/>
    </row>
    <row r="1685" spans="1:5">
      <c r="A1685" s="295"/>
      <c r="D1685" s="288"/>
      <c r="E1685" s="562"/>
    </row>
    <row r="1686" spans="1:5">
      <c r="A1686" s="295"/>
      <c r="D1686" s="288"/>
      <c r="E1686" s="562"/>
    </row>
    <row r="1687" spans="1:5">
      <c r="A1687" s="295"/>
      <c r="D1687" s="288"/>
      <c r="E1687" s="562"/>
    </row>
    <row r="1688" spans="1:5">
      <c r="A1688" s="295"/>
      <c r="D1688" s="288"/>
      <c r="E1688" s="562"/>
    </row>
    <row r="1689" spans="1:5">
      <c r="A1689" s="295"/>
      <c r="D1689" s="288"/>
      <c r="E1689" s="562"/>
    </row>
    <row r="1690" spans="1:5">
      <c r="A1690" s="295"/>
      <c r="D1690" s="288"/>
      <c r="E1690" s="562"/>
    </row>
    <row r="1691" spans="1:5">
      <c r="A1691" s="295"/>
      <c r="D1691" s="288"/>
      <c r="E1691" s="562"/>
    </row>
    <row r="1692" spans="1:5">
      <c r="A1692" s="295"/>
      <c r="D1692" s="288"/>
      <c r="E1692" s="562"/>
    </row>
    <row r="1693" spans="1:5">
      <c r="A1693" s="295"/>
      <c r="D1693" s="288"/>
      <c r="E1693" s="562"/>
    </row>
    <row r="1694" spans="1:5">
      <c r="A1694" s="295"/>
      <c r="D1694" s="288"/>
      <c r="E1694" s="562"/>
    </row>
    <row r="1695" spans="1:5">
      <c r="A1695" s="295"/>
      <c r="D1695" s="288"/>
      <c r="E1695" s="562"/>
    </row>
    <row r="1696" spans="1:5">
      <c r="A1696" s="295"/>
      <c r="D1696" s="288"/>
      <c r="E1696" s="562"/>
    </row>
    <row r="1697" spans="1:5">
      <c r="A1697" s="295"/>
      <c r="D1697" s="288"/>
      <c r="E1697" s="562"/>
    </row>
    <row r="1698" spans="1:5">
      <c r="A1698" s="295"/>
      <c r="D1698" s="288"/>
      <c r="E1698" s="562"/>
    </row>
    <row r="1699" spans="1:5">
      <c r="A1699" s="295"/>
      <c r="D1699" s="288"/>
      <c r="E1699" s="562"/>
    </row>
    <row r="1700" spans="1:5">
      <c r="A1700" s="295"/>
      <c r="D1700" s="288"/>
      <c r="E1700" s="562"/>
    </row>
    <row r="1701" spans="1:5">
      <c r="A1701" s="295"/>
      <c r="D1701" s="288"/>
      <c r="E1701" s="562"/>
    </row>
    <row r="1702" spans="1:5">
      <c r="A1702" s="295"/>
      <c r="D1702" s="288"/>
      <c r="E1702" s="562"/>
    </row>
    <row r="1703" spans="1:5">
      <c r="A1703" s="295"/>
      <c r="D1703" s="288"/>
      <c r="E1703" s="562"/>
    </row>
    <row r="1704" spans="1:5">
      <c r="A1704" s="295"/>
      <c r="D1704" s="288"/>
      <c r="E1704" s="562"/>
    </row>
    <row r="1705" spans="1:5">
      <c r="A1705" s="295"/>
      <c r="D1705" s="288"/>
      <c r="E1705" s="562"/>
    </row>
    <row r="1706" spans="1:5">
      <c r="A1706" s="295"/>
      <c r="D1706" s="288"/>
      <c r="E1706" s="562"/>
    </row>
    <row r="1707" spans="1:5">
      <c r="A1707" s="295"/>
      <c r="D1707" s="288"/>
      <c r="E1707" s="562"/>
    </row>
    <row r="1708" spans="1:5">
      <c r="A1708" s="295"/>
      <c r="D1708" s="288"/>
      <c r="E1708" s="562"/>
    </row>
    <row r="1709" spans="1:5">
      <c r="A1709" s="295"/>
      <c r="D1709" s="288"/>
      <c r="E1709" s="562"/>
    </row>
    <row r="1710" spans="1:5">
      <c r="A1710" s="295"/>
      <c r="D1710" s="288"/>
      <c r="E1710" s="562"/>
    </row>
    <row r="1711" spans="1:5">
      <c r="A1711" s="295"/>
      <c r="D1711" s="288"/>
      <c r="E1711" s="562"/>
    </row>
    <row r="1712" spans="1:5">
      <c r="A1712" s="295"/>
      <c r="D1712" s="288"/>
      <c r="E1712" s="562"/>
    </row>
    <row r="1713" spans="1:5">
      <c r="A1713" s="295"/>
      <c r="D1713" s="288"/>
      <c r="E1713" s="562"/>
    </row>
    <row r="1714" spans="1:5">
      <c r="A1714" s="295"/>
      <c r="D1714" s="288"/>
      <c r="E1714" s="562"/>
    </row>
    <row r="1715" spans="1:5">
      <c r="A1715" s="295"/>
      <c r="D1715" s="288"/>
      <c r="E1715" s="562"/>
    </row>
    <row r="1716" spans="1:5">
      <c r="A1716" s="295"/>
      <c r="D1716" s="288"/>
      <c r="E1716" s="562"/>
    </row>
    <row r="1717" spans="1:5">
      <c r="A1717" s="295"/>
      <c r="D1717" s="288"/>
      <c r="E1717" s="562"/>
    </row>
    <row r="1718" spans="1:5">
      <c r="A1718" s="295"/>
      <c r="D1718" s="288"/>
      <c r="E1718" s="562"/>
    </row>
    <row r="1719" spans="1:5">
      <c r="A1719" s="295"/>
      <c r="D1719" s="288"/>
      <c r="E1719" s="562"/>
    </row>
    <row r="1720" spans="1:5">
      <c r="A1720" s="295"/>
      <c r="D1720" s="288"/>
      <c r="E1720" s="562"/>
    </row>
    <row r="1721" spans="1:5">
      <c r="A1721" s="295"/>
      <c r="D1721" s="288"/>
      <c r="E1721" s="562"/>
    </row>
    <row r="1722" spans="1:5">
      <c r="A1722" s="295"/>
      <c r="D1722" s="288"/>
      <c r="E1722" s="562"/>
    </row>
    <row r="1723" spans="1:5">
      <c r="A1723" s="295"/>
      <c r="D1723" s="288"/>
      <c r="E1723" s="562"/>
    </row>
    <row r="1724" spans="1:5">
      <c r="A1724" s="295"/>
      <c r="D1724" s="288"/>
      <c r="E1724" s="562"/>
    </row>
    <row r="1725" spans="1:5">
      <c r="A1725" s="295"/>
      <c r="D1725" s="288"/>
      <c r="E1725" s="562"/>
    </row>
    <row r="1726" spans="1:5">
      <c r="A1726" s="295"/>
      <c r="D1726" s="288"/>
      <c r="E1726" s="562"/>
    </row>
    <row r="1727" spans="1:5">
      <c r="A1727" s="295"/>
      <c r="D1727" s="288"/>
      <c r="E1727" s="562"/>
    </row>
    <row r="1728" spans="1:5">
      <c r="A1728" s="295"/>
      <c r="D1728" s="288"/>
      <c r="E1728" s="562"/>
    </row>
    <row r="1729" spans="1:5">
      <c r="A1729" s="295"/>
      <c r="D1729" s="288"/>
      <c r="E1729" s="562"/>
    </row>
    <row r="1730" spans="1:5">
      <c r="A1730" s="295"/>
      <c r="D1730" s="288"/>
      <c r="E1730" s="562"/>
    </row>
    <row r="1731" spans="1:5">
      <c r="A1731" s="295"/>
      <c r="D1731" s="288"/>
      <c r="E1731" s="562"/>
    </row>
    <row r="1732" spans="1:5">
      <c r="A1732" s="295"/>
      <c r="D1732" s="288"/>
      <c r="E1732" s="562"/>
    </row>
    <row r="1733" spans="1:5">
      <c r="A1733" s="295"/>
      <c r="D1733" s="288"/>
      <c r="E1733" s="562"/>
    </row>
    <row r="1734" spans="1:5">
      <c r="A1734" s="295"/>
      <c r="D1734" s="288"/>
      <c r="E1734" s="562"/>
    </row>
    <row r="1735" spans="1:5">
      <c r="A1735" s="295"/>
      <c r="D1735" s="288"/>
      <c r="E1735" s="562"/>
    </row>
    <row r="1736" spans="1:5">
      <c r="A1736" s="295"/>
      <c r="D1736" s="288"/>
      <c r="E1736" s="562"/>
    </row>
    <row r="1737" spans="1:5">
      <c r="A1737" s="295"/>
      <c r="D1737" s="288"/>
      <c r="E1737" s="562"/>
    </row>
    <row r="1738" spans="1:5">
      <c r="A1738" s="295"/>
      <c r="D1738" s="288"/>
      <c r="E1738" s="562"/>
    </row>
    <row r="1739" spans="1:5">
      <c r="A1739" s="295"/>
      <c r="D1739" s="288"/>
      <c r="E1739" s="562"/>
    </row>
    <row r="1740" spans="1:5">
      <c r="A1740" s="295"/>
      <c r="D1740" s="288"/>
      <c r="E1740" s="562"/>
    </row>
    <row r="1741" spans="1:5">
      <c r="A1741" s="295"/>
      <c r="D1741" s="288"/>
      <c r="E1741" s="562"/>
    </row>
    <row r="1742" spans="1:5">
      <c r="A1742" s="295"/>
      <c r="D1742" s="288"/>
      <c r="E1742" s="562"/>
    </row>
    <row r="1743" spans="1:5">
      <c r="A1743" s="295"/>
      <c r="D1743" s="288"/>
      <c r="E1743" s="562"/>
    </row>
    <row r="1744" spans="1:5">
      <c r="A1744" s="295"/>
      <c r="D1744" s="288"/>
      <c r="E1744" s="562"/>
    </row>
    <row r="1745" spans="1:5">
      <c r="A1745" s="295"/>
      <c r="D1745" s="288"/>
      <c r="E1745" s="562"/>
    </row>
    <row r="1746" spans="1:5">
      <c r="A1746" s="295"/>
      <c r="D1746" s="288"/>
      <c r="E1746" s="562"/>
    </row>
    <row r="1747" spans="1:5">
      <c r="A1747" s="295"/>
      <c r="D1747" s="288"/>
      <c r="E1747" s="562"/>
    </row>
    <row r="1748" spans="1:5">
      <c r="A1748" s="295"/>
      <c r="D1748" s="288"/>
      <c r="E1748" s="562"/>
    </row>
    <row r="1749" spans="1:5">
      <c r="A1749" s="295"/>
      <c r="D1749" s="288"/>
      <c r="E1749" s="562"/>
    </row>
    <row r="1750" spans="1:5">
      <c r="A1750" s="295"/>
      <c r="D1750" s="288"/>
      <c r="E1750" s="562"/>
    </row>
    <row r="1751" spans="1:5">
      <c r="A1751" s="295"/>
      <c r="D1751" s="288"/>
      <c r="E1751" s="562"/>
    </row>
    <row r="1752" spans="1:5">
      <c r="A1752" s="295"/>
      <c r="D1752" s="288"/>
      <c r="E1752" s="562"/>
    </row>
    <row r="1753" spans="1:5">
      <c r="A1753" s="295"/>
      <c r="D1753" s="288"/>
      <c r="E1753" s="562"/>
    </row>
    <row r="1754" spans="1:5">
      <c r="A1754" s="295"/>
      <c r="D1754" s="288"/>
      <c r="E1754" s="562"/>
    </row>
    <row r="1755" spans="1:5">
      <c r="A1755" s="295"/>
      <c r="D1755" s="288"/>
      <c r="E1755" s="562"/>
    </row>
    <row r="1756" spans="1:5">
      <c r="A1756" s="295"/>
      <c r="D1756" s="288"/>
      <c r="E1756" s="562"/>
    </row>
    <row r="1757" spans="1:5">
      <c r="A1757" s="295"/>
      <c r="D1757" s="288"/>
      <c r="E1757" s="562"/>
    </row>
    <row r="1758" spans="1:5">
      <c r="A1758" s="295"/>
      <c r="D1758" s="288"/>
      <c r="E1758" s="562"/>
    </row>
    <row r="1759" spans="1:5">
      <c r="A1759" s="295"/>
      <c r="D1759" s="288"/>
      <c r="E1759" s="562"/>
    </row>
    <row r="1760" spans="1:5">
      <c r="A1760" s="295"/>
      <c r="D1760" s="288"/>
      <c r="E1760" s="562"/>
    </row>
    <row r="1761" spans="1:5">
      <c r="A1761" s="295"/>
      <c r="D1761" s="288"/>
      <c r="E1761" s="562"/>
    </row>
    <row r="1762" spans="1:5">
      <c r="A1762" s="295"/>
      <c r="D1762" s="288"/>
      <c r="E1762" s="562"/>
    </row>
    <row r="1763" spans="1:5">
      <c r="A1763" s="295"/>
      <c r="D1763" s="288"/>
      <c r="E1763" s="562"/>
    </row>
    <row r="1764" spans="1:5">
      <c r="A1764" s="295"/>
      <c r="D1764" s="288"/>
      <c r="E1764" s="562"/>
    </row>
    <row r="1765" spans="1:5">
      <c r="A1765" s="295"/>
      <c r="D1765" s="288"/>
      <c r="E1765" s="562"/>
    </row>
    <row r="1766" spans="1:5">
      <c r="A1766" s="295"/>
      <c r="D1766" s="288"/>
      <c r="E1766" s="562"/>
    </row>
    <row r="1767" spans="1:5">
      <c r="A1767" s="295"/>
      <c r="D1767" s="288"/>
      <c r="E1767" s="562"/>
    </row>
    <row r="1768" spans="1:5">
      <c r="A1768" s="295"/>
      <c r="D1768" s="288"/>
      <c r="E1768" s="562"/>
    </row>
    <row r="1769" spans="1:5">
      <c r="A1769" s="295"/>
      <c r="D1769" s="288"/>
      <c r="E1769" s="562"/>
    </row>
    <row r="1770" spans="1:5">
      <c r="A1770" s="295"/>
      <c r="D1770" s="288"/>
      <c r="E1770" s="562"/>
    </row>
    <row r="1771" spans="1:5">
      <c r="A1771" s="295"/>
      <c r="D1771" s="288"/>
      <c r="E1771" s="562"/>
    </row>
    <row r="1772" spans="1:5">
      <c r="A1772" s="295"/>
      <c r="D1772" s="288"/>
      <c r="E1772" s="562"/>
    </row>
    <row r="1773" spans="1:5">
      <c r="A1773" s="295"/>
      <c r="D1773" s="288"/>
      <c r="E1773" s="562"/>
    </row>
    <row r="1774" spans="1:5">
      <c r="A1774" s="295"/>
      <c r="D1774" s="288"/>
      <c r="E1774" s="562"/>
    </row>
    <row r="1775" spans="1:5">
      <c r="A1775" s="295"/>
      <c r="D1775" s="288"/>
      <c r="E1775" s="562"/>
    </row>
    <row r="1776" spans="1:5">
      <c r="A1776" s="295"/>
      <c r="D1776" s="288"/>
      <c r="E1776" s="562"/>
    </row>
    <row r="1777" spans="1:5">
      <c r="A1777" s="295"/>
      <c r="D1777" s="288"/>
      <c r="E1777" s="562"/>
    </row>
    <row r="1778" spans="1:5">
      <c r="A1778" s="295"/>
      <c r="D1778" s="288"/>
      <c r="E1778" s="562"/>
    </row>
    <row r="1779" spans="1:5">
      <c r="A1779" s="295"/>
      <c r="D1779" s="288"/>
      <c r="E1779" s="562"/>
    </row>
    <row r="1780" spans="1:5">
      <c r="A1780" s="295"/>
      <c r="D1780" s="288"/>
      <c r="E1780" s="562"/>
    </row>
    <row r="1781" spans="1:5">
      <c r="A1781" s="295"/>
      <c r="D1781" s="288"/>
      <c r="E1781" s="562"/>
    </row>
    <row r="1782" spans="1:5">
      <c r="A1782" s="295"/>
      <c r="D1782" s="288"/>
      <c r="E1782" s="562"/>
    </row>
    <row r="1783" spans="1:5">
      <c r="A1783" s="295"/>
      <c r="D1783" s="288"/>
      <c r="E1783" s="562"/>
    </row>
    <row r="1784" spans="1:5">
      <c r="A1784" s="295"/>
      <c r="D1784" s="288"/>
      <c r="E1784" s="562"/>
    </row>
    <row r="1785" spans="1:5">
      <c r="A1785" s="295"/>
      <c r="D1785" s="288"/>
      <c r="E1785" s="562"/>
    </row>
    <row r="1786" spans="1:5">
      <c r="A1786" s="295"/>
      <c r="D1786" s="288"/>
      <c r="E1786" s="562"/>
    </row>
    <row r="1787" spans="1:5">
      <c r="A1787" s="295"/>
      <c r="D1787" s="288"/>
      <c r="E1787" s="562"/>
    </row>
    <row r="1788" spans="1:5">
      <c r="A1788" s="295"/>
      <c r="D1788" s="288"/>
      <c r="E1788" s="562"/>
    </row>
    <row r="1789" spans="1:5">
      <c r="A1789" s="295"/>
      <c r="D1789" s="288"/>
      <c r="E1789" s="562"/>
    </row>
    <row r="1790" spans="1:5">
      <c r="A1790" s="295"/>
      <c r="D1790" s="288"/>
      <c r="E1790" s="562"/>
    </row>
    <row r="1791" spans="1:5">
      <c r="A1791" s="295"/>
      <c r="D1791" s="288"/>
      <c r="E1791" s="562"/>
    </row>
    <row r="1792" spans="1:5">
      <c r="A1792" s="295"/>
      <c r="D1792" s="288"/>
      <c r="E1792" s="562"/>
    </row>
    <row r="1793" spans="1:5">
      <c r="A1793" s="295"/>
      <c r="D1793" s="288"/>
      <c r="E1793" s="562"/>
    </row>
    <row r="1794" spans="1:5">
      <c r="A1794" s="295"/>
      <c r="D1794" s="288"/>
      <c r="E1794" s="562"/>
    </row>
    <row r="1795" spans="1:5">
      <c r="A1795" s="295"/>
      <c r="D1795" s="288"/>
      <c r="E1795" s="562"/>
    </row>
    <row r="1796" spans="1:5">
      <c r="A1796" s="295"/>
      <c r="D1796" s="288"/>
      <c r="E1796" s="562"/>
    </row>
    <row r="1797" spans="1:5">
      <c r="A1797" s="295"/>
      <c r="D1797" s="288"/>
      <c r="E1797" s="562"/>
    </row>
    <row r="1798" spans="1:5">
      <c r="A1798" s="295"/>
      <c r="D1798" s="288"/>
      <c r="E1798" s="562"/>
    </row>
    <row r="1799" spans="1:5">
      <c r="A1799" s="295"/>
      <c r="D1799" s="288"/>
      <c r="E1799" s="562"/>
    </row>
    <row r="1800" spans="1:5">
      <c r="A1800" s="295"/>
      <c r="D1800" s="288"/>
      <c r="E1800" s="562"/>
    </row>
    <row r="1801" spans="1:5">
      <c r="A1801" s="295"/>
      <c r="D1801" s="288"/>
      <c r="E1801" s="562"/>
    </row>
    <row r="1802" spans="1:5">
      <c r="A1802" s="295"/>
      <c r="D1802" s="288"/>
      <c r="E1802" s="562"/>
    </row>
    <row r="1803" spans="1:5">
      <c r="A1803" s="295"/>
      <c r="D1803" s="288"/>
      <c r="E1803" s="562"/>
    </row>
    <row r="1804" spans="1:5">
      <c r="A1804" s="295"/>
      <c r="D1804" s="288"/>
      <c r="E1804" s="562"/>
    </row>
    <row r="1805" spans="1:5">
      <c r="A1805" s="295"/>
      <c r="D1805" s="288"/>
      <c r="E1805" s="562"/>
    </row>
    <row r="1806" spans="1:5">
      <c r="A1806" s="295"/>
      <c r="D1806" s="288"/>
      <c r="E1806" s="562"/>
    </row>
    <row r="1807" spans="1:5">
      <c r="A1807" s="295"/>
      <c r="D1807" s="288"/>
      <c r="E1807" s="562"/>
    </row>
    <row r="1808" spans="1:5">
      <c r="A1808" s="295"/>
      <c r="D1808" s="288"/>
      <c r="E1808" s="562"/>
    </row>
    <row r="1809" spans="1:5">
      <c r="A1809" s="295"/>
      <c r="D1809" s="288"/>
      <c r="E1809" s="562"/>
    </row>
    <row r="1810" spans="1:5">
      <c r="A1810" s="295"/>
      <c r="D1810" s="288"/>
      <c r="E1810" s="562"/>
    </row>
    <row r="1811" spans="1:5">
      <c r="A1811" s="295"/>
      <c r="D1811" s="288"/>
      <c r="E1811" s="562"/>
    </row>
    <row r="1812" spans="1:5">
      <c r="A1812" s="295"/>
      <c r="D1812" s="288"/>
      <c r="E1812" s="562"/>
    </row>
    <row r="1813" spans="1:5">
      <c r="A1813" s="295"/>
      <c r="D1813" s="288"/>
      <c r="E1813" s="562"/>
    </row>
    <row r="1814" spans="1:5">
      <c r="A1814" s="295"/>
      <c r="D1814" s="288"/>
      <c r="E1814" s="562"/>
    </row>
    <row r="1815" spans="1:5">
      <c r="A1815" s="295"/>
      <c r="D1815" s="288"/>
      <c r="E1815" s="562"/>
    </row>
    <row r="1816" spans="1:5">
      <c r="A1816" s="295"/>
      <c r="D1816" s="288"/>
      <c r="E1816" s="562"/>
    </row>
    <row r="1817" spans="1:5">
      <c r="A1817" s="295"/>
      <c r="D1817" s="288"/>
      <c r="E1817" s="562"/>
    </row>
    <row r="1818" spans="1:5">
      <c r="A1818" s="295"/>
      <c r="D1818" s="288"/>
      <c r="E1818" s="562"/>
    </row>
    <row r="1819" spans="1:5">
      <c r="A1819" s="295"/>
      <c r="D1819" s="288"/>
      <c r="E1819" s="562"/>
    </row>
    <row r="1820" spans="1:5">
      <c r="A1820" s="295"/>
      <c r="D1820" s="288"/>
      <c r="E1820" s="562"/>
    </row>
    <row r="1821" spans="1:5">
      <c r="A1821" s="295"/>
      <c r="D1821" s="288"/>
      <c r="E1821" s="562"/>
    </row>
    <row r="1822" spans="1:5">
      <c r="A1822" s="295"/>
      <c r="D1822" s="288"/>
      <c r="E1822" s="562"/>
    </row>
    <row r="1823" spans="1:5">
      <c r="A1823" s="295"/>
      <c r="D1823" s="288"/>
      <c r="E1823" s="562"/>
    </row>
    <row r="1824" spans="1:5">
      <c r="A1824" s="295"/>
      <c r="D1824" s="288"/>
      <c r="E1824" s="562"/>
    </row>
    <row r="1825" spans="1:5">
      <c r="A1825" s="295"/>
      <c r="D1825" s="288"/>
      <c r="E1825" s="562"/>
    </row>
    <row r="1826" spans="1:5">
      <c r="A1826" s="295"/>
      <c r="D1826" s="288"/>
      <c r="E1826" s="562"/>
    </row>
    <row r="1827" spans="1:5">
      <c r="A1827" s="295"/>
      <c r="D1827" s="288"/>
      <c r="E1827" s="562"/>
    </row>
    <row r="1828" spans="1:5">
      <c r="A1828" s="295"/>
      <c r="D1828" s="288"/>
      <c r="E1828" s="562"/>
    </row>
    <row r="1829" spans="1:5">
      <c r="A1829" s="295"/>
      <c r="D1829" s="288"/>
      <c r="E1829" s="562"/>
    </row>
    <row r="1830" spans="1:5">
      <c r="A1830" s="295"/>
      <c r="D1830" s="288"/>
      <c r="E1830" s="562"/>
    </row>
    <row r="1831" spans="1:5">
      <c r="A1831" s="295"/>
      <c r="D1831" s="288"/>
      <c r="E1831" s="562"/>
    </row>
    <row r="1832" spans="1:5">
      <c r="A1832" s="295"/>
      <c r="D1832" s="288"/>
      <c r="E1832" s="562"/>
    </row>
    <row r="1833" spans="1:5">
      <c r="A1833" s="295"/>
      <c r="D1833" s="288"/>
      <c r="E1833" s="562"/>
    </row>
    <row r="1834" spans="1:5">
      <c r="A1834" s="295"/>
      <c r="D1834" s="288"/>
      <c r="E1834" s="562"/>
    </row>
    <row r="1835" spans="1:5">
      <c r="A1835" s="295"/>
      <c r="D1835" s="288"/>
      <c r="E1835" s="562"/>
    </row>
    <row r="1836" spans="1:5">
      <c r="A1836" s="295"/>
      <c r="D1836" s="288"/>
      <c r="E1836" s="562"/>
    </row>
    <row r="1837" spans="1:5">
      <c r="A1837" s="295"/>
      <c r="D1837" s="288"/>
      <c r="E1837" s="562"/>
    </row>
    <row r="1838" spans="1:5">
      <c r="A1838" s="295"/>
      <c r="D1838" s="288"/>
      <c r="E1838" s="562"/>
    </row>
    <row r="1839" spans="1:5">
      <c r="A1839" s="295"/>
      <c r="D1839" s="288"/>
      <c r="E1839" s="562"/>
    </row>
    <row r="1840" spans="1:5">
      <c r="A1840" s="295"/>
      <c r="D1840" s="288"/>
      <c r="E1840" s="562"/>
    </row>
    <row r="1841" spans="1:5">
      <c r="A1841" s="295"/>
      <c r="D1841" s="288"/>
      <c r="E1841" s="562"/>
    </row>
    <row r="1842" spans="1:5">
      <c r="A1842" s="295"/>
      <c r="D1842" s="288"/>
      <c r="E1842" s="562"/>
    </row>
    <row r="1843" spans="1:5">
      <c r="A1843" s="295"/>
      <c r="D1843" s="288"/>
      <c r="E1843" s="562"/>
    </row>
    <row r="1844" spans="1:5">
      <c r="A1844" s="295"/>
      <c r="D1844" s="288"/>
      <c r="E1844" s="562"/>
    </row>
    <row r="1845" spans="1:5">
      <c r="A1845" s="295"/>
      <c r="D1845" s="288"/>
      <c r="E1845" s="562"/>
    </row>
    <row r="1846" spans="1:5">
      <c r="A1846" s="295"/>
      <c r="D1846" s="288"/>
      <c r="E1846" s="562"/>
    </row>
    <row r="1847" spans="1:5">
      <c r="A1847" s="295"/>
      <c r="D1847" s="288"/>
      <c r="E1847" s="562"/>
    </row>
    <row r="1848" spans="1:5">
      <c r="A1848" s="295"/>
      <c r="D1848" s="288"/>
      <c r="E1848" s="562"/>
    </row>
    <row r="1849" spans="1:5">
      <c r="A1849" s="295"/>
      <c r="D1849" s="288"/>
      <c r="E1849" s="562"/>
    </row>
    <row r="1850" spans="1:5">
      <c r="A1850" s="295"/>
      <c r="D1850" s="288"/>
      <c r="E1850" s="562"/>
    </row>
    <row r="1851" spans="1:5">
      <c r="A1851" s="295"/>
      <c r="D1851" s="288"/>
      <c r="E1851" s="562"/>
    </row>
    <row r="1852" spans="1:5">
      <c r="A1852" s="295"/>
      <c r="D1852" s="288"/>
      <c r="E1852" s="562"/>
    </row>
    <row r="1853" spans="1:5">
      <c r="A1853" s="295"/>
      <c r="D1853" s="288"/>
      <c r="E1853" s="562"/>
    </row>
    <row r="1854" spans="1:5">
      <c r="A1854" s="295"/>
      <c r="D1854" s="288"/>
      <c r="E1854" s="562"/>
    </row>
    <row r="1855" spans="1:5">
      <c r="A1855" s="295"/>
      <c r="D1855" s="288"/>
      <c r="E1855" s="562"/>
    </row>
    <row r="1856" spans="1:5">
      <c r="A1856" s="295"/>
      <c r="D1856" s="288"/>
      <c r="E1856" s="562"/>
    </row>
    <row r="1857" spans="1:5">
      <c r="A1857" s="295"/>
      <c r="D1857" s="288"/>
      <c r="E1857" s="562"/>
    </row>
    <row r="1858" spans="1:5">
      <c r="A1858" s="295"/>
      <c r="D1858" s="288"/>
      <c r="E1858" s="562"/>
    </row>
    <row r="1859" spans="1:5">
      <c r="A1859" s="295"/>
      <c r="D1859" s="288"/>
      <c r="E1859" s="562"/>
    </row>
    <row r="1860" spans="1:5">
      <c r="A1860" s="295"/>
      <c r="D1860" s="288"/>
      <c r="E1860" s="562"/>
    </row>
    <row r="1861" spans="1:5">
      <c r="A1861" s="295"/>
      <c r="D1861" s="288"/>
      <c r="E1861" s="562"/>
    </row>
    <row r="1862" spans="1:5">
      <c r="A1862" s="295"/>
      <c r="D1862" s="288"/>
      <c r="E1862" s="562"/>
    </row>
    <row r="1863" spans="1:5">
      <c r="A1863" s="295"/>
      <c r="D1863" s="288"/>
      <c r="E1863" s="562"/>
    </row>
    <row r="1864" spans="1:5">
      <c r="A1864" s="295"/>
      <c r="D1864" s="288"/>
      <c r="E1864" s="562"/>
    </row>
    <row r="1865" spans="1:5">
      <c r="A1865" s="295"/>
      <c r="D1865" s="288"/>
      <c r="E1865" s="562"/>
    </row>
    <row r="1866" spans="1:5">
      <c r="A1866" s="295"/>
      <c r="D1866" s="288"/>
      <c r="E1866" s="562"/>
    </row>
    <row r="1867" spans="1:5">
      <c r="A1867" s="295"/>
      <c r="D1867" s="288"/>
      <c r="E1867" s="562"/>
    </row>
    <row r="1868" spans="1:5">
      <c r="A1868" s="295"/>
      <c r="D1868" s="288"/>
      <c r="E1868" s="562"/>
    </row>
    <row r="1869" spans="1:5">
      <c r="A1869" s="295"/>
      <c r="D1869" s="288"/>
      <c r="E1869" s="562"/>
    </row>
    <row r="1870" spans="1:5">
      <c r="A1870" s="295"/>
      <c r="D1870" s="288"/>
      <c r="E1870" s="562"/>
    </row>
    <row r="1871" spans="1:5">
      <c r="A1871" s="295"/>
      <c r="D1871" s="288"/>
      <c r="E1871" s="562"/>
    </row>
    <row r="1872" spans="1:5">
      <c r="A1872" s="295"/>
      <c r="D1872" s="288"/>
      <c r="E1872" s="562"/>
    </row>
    <row r="1873" spans="1:5">
      <c r="A1873" s="295"/>
      <c r="D1873" s="288"/>
      <c r="E1873" s="562"/>
    </row>
    <row r="1874" spans="1:5">
      <c r="A1874" s="295"/>
      <c r="D1874" s="288"/>
      <c r="E1874" s="562"/>
    </row>
    <row r="1875" spans="1:5">
      <c r="A1875" s="295"/>
      <c r="D1875" s="288"/>
      <c r="E1875" s="562"/>
    </row>
    <row r="1876" spans="1:5">
      <c r="A1876" s="295"/>
      <c r="D1876" s="288"/>
      <c r="E1876" s="562"/>
    </row>
    <row r="1877" spans="1:5">
      <c r="A1877" s="295"/>
      <c r="D1877" s="288"/>
      <c r="E1877" s="562"/>
    </row>
    <row r="1878" spans="1:5">
      <c r="A1878" s="295"/>
      <c r="D1878" s="288"/>
      <c r="E1878" s="562"/>
    </row>
    <row r="1879" spans="1:5">
      <c r="A1879" s="295"/>
      <c r="D1879" s="288"/>
      <c r="E1879" s="562"/>
    </row>
    <row r="1880" spans="1:5">
      <c r="A1880" s="295"/>
      <c r="D1880" s="288"/>
      <c r="E1880" s="562"/>
    </row>
    <row r="1881" spans="1:5">
      <c r="A1881" s="295"/>
      <c r="D1881" s="288"/>
      <c r="E1881" s="562"/>
    </row>
    <row r="1882" spans="1:5">
      <c r="A1882" s="295"/>
      <c r="D1882" s="288"/>
      <c r="E1882" s="562"/>
    </row>
    <row r="1883" spans="1:5">
      <c r="A1883" s="295"/>
      <c r="D1883" s="288"/>
      <c r="E1883" s="562"/>
    </row>
    <row r="1884" spans="1:5">
      <c r="A1884" s="295"/>
      <c r="D1884" s="288"/>
      <c r="E1884" s="562"/>
    </row>
    <row r="1885" spans="1:5">
      <c r="A1885" s="295"/>
      <c r="D1885" s="288"/>
      <c r="E1885" s="562"/>
    </row>
    <row r="1886" spans="1:5">
      <c r="A1886" s="295"/>
      <c r="D1886" s="288"/>
      <c r="E1886" s="562"/>
    </row>
    <row r="1887" spans="1:5">
      <c r="A1887" s="295"/>
      <c r="D1887" s="288"/>
      <c r="E1887" s="562"/>
    </row>
    <row r="1888" spans="1:5">
      <c r="A1888" s="295"/>
      <c r="D1888" s="288"/>
      <c r="E1888" s="562"/>
    </row>
    <row r="1889" spans="1:5">
      <c r="A1889" s="295"/>
      <c r="D1889" s="288"/>
      <c r="E1889" s="562"/>
    </row>
    <row r="1890" spans="1:5">
      <c r="A1890" s="295"/>
      <c r="D1890" s="288"/>
      <c r="E1890" s="562"/>
    </row>
    <row r="1891" spans="1:5">
      <c r="A1891" s="295"/>
      <c r="D1891" s="288"/>
      <c r="E1891" s="562"/>
    </row>
    <row r="1892" spans="1:5">
      <c r="A1892" s="295"/>
      <c r="D1892" s="288"/>
      <c r="E1892" s="562"/>
    </row>
    <row r="1893" spans="1:5">
      <c r="A1893" s="295"/>
      <c r="D1893" s="288"/>
      <c r="E1893" s="562"/>
    </row>
    <row r="1894" spans="1:5">
      <c r="A1894" s="295"/>
      <c r="D1894" s="288"/>
      <c r="E1894" s="562"/>
    </row>
    <row r="1895" spans="1:5">
      <c r="A1895" s="295"/>
      <c r="D1895" s="288"/>
      <c r="E1895" s="562"/>
    </row>
    <row r="1896" spans="1:5">
      <c r="A1896" s="295"/>
      <c r="D1896" s="288"/>
      <c r="E1896" s="562"/>
    </row>
    <row r="1897" spans="1:5">
      <c r="A1897" s="295"/>
      <c r="D1897" s="288"/>
      <c r="E1897" s="562"/>
    </row>
    <row r="1898" spans="1:5">
      <c r="A1898" s="295"/>
      <c r="D1898" s="288"/>
      <c r="E1898" s="562"/>
    </row>
    <row r="1899" spans="1:5">
      <c r="A1899" s="295"/>
      <c r="D1899" s="288"/>
      <c r="E1899" s="562"/>
    </row>
    <row r="1900" spans="1:5">
      <c r="A1900" s="295"/>
      <c r="D1900" s="288"/>
      <c r="E1900" s="562"/>
    </row>
    <row r="1901" spans="1:5">
      <c r="A1901" s="295"/>
      <c r="D1901" s="288"/>
      <c r="E1901" s="562"/>
    </row>
    <row r="1902" spans="1:5">
      <c r="A1902" s="295"/>
      <c r="D1902" s="288"/>
      <c r="E1902" s="562"/>
    </row>
    <row r="1903" spans="1:5">
      <c r="A1903" s="295"/>
      <c r="D1903" s="288"/>
      <c r="E1903" s="562"/>
    </row>
    <row r="1904" spans="1:5">
      <c r="A1904" s="295"/>
      <c r="D1904" s="288"/>
      <c r="E1904" s="562"/>
    </row>
    <row r="1905" spans="1:5">
      <c r="A1905" s="295"/>
      <c r="D1905" s="288"/>
      <c r="E1905" s="562"/>
    </row>
    <row r="1906" spans="1:5">
      <c r="A1906" s="295"/>
      <c r="D1906" s="288"/>
      <c r="E1906" s="562"/>
    </row>
    <row r="1907" spans="1:5">
      <c r="A1907" s="295"/>
      <c r="D1907" s="288"/>
      <c r="E1907" s="562"/>
    </row>
    <row r="1908" spans="1:5">
      <c r="A1908" s="295"/>
      <c r="D1908" s="288"/>
      <c r="E1908" s="562"/>
    </row>
    <row r="1909" spans="1:5">
      <c r="A1909" s="295"/>
      <c r="D1909" s="288"/>
      <c r="E1909" s="562"/>
    </row>
    <row r="1910" spans="1:5">
      <c r="A1910" s="295"/>
      <c r="D1910" s="288"/>
      <c r="E1910" s="562"/>
    </row>
    <row r="1911" spans="1:5">
      <c r="A1911" s="295"/>
      <c r="D1911" s="288"/>
      <c r="E1911" s="562"/>
    </row>
    <row r="1912" spans="1:5">
      <c r="A1912" s="295"/>
      <c r="D1912" s="288"/>
      <c r="E1912" s="562"/>
    </row>
    <row r="1913" spans="1:5">
      <c r="A1913" s="295"/>
      <c r="D1913" s="288"/>
      <c r="E1913" s="562"/>
    </row>
    <row r="1914" spans="1:5">
      <c r="A1914" s="295"/>
      <c r="D1914" s="288"/>
      <c r="E1914" s="562"/>
    </row>
    <row r="1915" spans="1:5">
      <c r="A1915" s="295"/>
      <c r="D1915" s="288"/>
      <c r="E1915" s="562"/>
    </row>
    <row r="1916" spans="1:5">
      <c r="A1916" s="295"/>
      <c r="D1916" s="288"/>
      <c r="E1916" s="562"/>
    </row>
    <row r="1917" spans="1:5">
      <c r="A1917" s="295"/>
      <c r="D1917" s="288"/>
      <c r="E1917" s="562"/>
    </row>
    <row r="1918" spans="1:5">
      <c r="A1918" s="295"/>
      <c r="D1918" s="288"/>
      <c r="E1918" s="562"/>
    </row>
    <row r="1919" spans="1:5">
      <c r="A1919" s="295"/>
      <c r="D1919" s="288"/>
      <c r="E1919" s="562"/>
    </row>
    <row r="1920" spans="1:5">
      <c r="A1920" s="295"/>
      <c r="D1920" s="288"/>
      <c r="E1920" s="562"/>
    </row>
    <row r="1921" spans="1:5">
      <c r="A1921" s="295"/>
      <c r="D1921" s="288"/>
      <c r="E1921" s="562"/>
    </row>
    <row r="1922" spans="1:5">
      <c r="A1922" s="295"/>
      <c r="D1922" s="288"/>
      <c r="E1922" s="562"/>
    </row>
    <row r="1923" spans="1:5">
      <c r="A1923" s="295"/>
      <c r="D1923" s="288"/>
      <c r="E1923" s="562"/>
    </row>
    <row r="1924" spans="1:5">
      <c r="A1924" s="295"/>
      <c r="D1924" s="288"/>
      <c r="E1924" s="562"/>
    </row>
    <row r="1925" spans="1:5">
      <c r="A1925" s="295"/>
      <c r="D1925" s="288"/>
      <c r="E1925" s="562"/>
    </row>
    <row r="1926" spans="1:5">
      <c r="A1926" s="295"/>
      <c r="D1926" s="288"/>
      <c r="E1926" s="562"/>
    </row>
    <row r="1927" spans="1:5">
      <c r="A1927" s="295"/>
      <c r="D1927" s="288"/>
      <c r="E1927" s="562"/>
    </row>
    <row r="1928" spans="1:5">
      <c r="A1928" s="295"/>
      <c r="D1928" s="288"/>
      <c r="E1928" s="562"/>
    </row>
    <row r="1929" spans="1:5">
      <c r="A1929" s="295"/>
      <c r="D1929" s="288"/>
      <c r="E1929" s="562"/>
    </row>
    <row r="1930" spans="1:5">
      <c r="A1930" s="295"/>
      <c r="D1930" s="288"/>
      <c r="E1930" s="562"/>
    </row>
    <row r="1931" spans="1:5">
      <c r="A1931" s="295"/>
      <c r="D1931" s="288"/>
      <c r="E1931" s="562"/>
    </row>
    <row r="1932" spans="1:5">
      <c r="A1932" s="295"/>
      <c r="D1932" s="288"/>
      <c r="E1932" s="562"/>
    </row>
    <row r="1933" spans="1:5">
      <c r="A1933" s="295"/>
      <c r="D1933" s="288"/>
      <c r="E1933" s="562"/>
    </row>
    <row r="1934" spans="1:5">
      <c r="A1934" s="295"/>
      <c r="D1934" s="288"/>
      <c r="E1934" s="562"/>
    </row>
    <row r="1935" spans="1:5">
      <c r="A1935" s="295"/>
      <c r="D1935" s="288"/>
      <c r="E1935" s="562"/>
    </row>
    <row r="1936" spans="1:5">
      <c r="A1936" s="295"/>
      <c r="D1936" s="288"/>
      <c r="E1936" s="562"/>
    </row>
    <row r="1937" spans="1:5">
      <c r="A1937" s="295"/>
      <c r="D1937" s="288"/>
      <c r="E1937" s="562"/>
    </row>
    <row r="1938" spans="1:5">
      <c r="A1938" s="295"/>
      <c r="D1938" s="288"/>
      <c r="E1938" s="562"/>
    </row>
    <row r="1939" spans="1:5">
      <c r="A1939" s="295"/>
      <c r="D1939" s="288"/>
      <c r="E1939" s="562"/>
    </row>
    <row r="1940" spans="1:5">
      <c r="A1940" s="295"/>
      <c r="D1940" s="288"/>
      <c r="E1940" s="562"/>
    </row>
    <row r="1941" spans="1:5">
      <c r="A1941" s="295"/>
      <c r="D1941" s="288"/>
      <c r="E1941" s="562"/>
    </row>
    <row r="1942" spans="1:5">
      <c r="A1942" s="295"/>
      <c r="D1942" s="288"/>
      <c r="E1942" s="562"/>
    </row>
    <row r="1943" spans="1:5">
      <c r="A1943" s="295"/>
      <c r="D1943" s="288"/>
      <c r="E1943" s="562"/>
    </row>
    <row r="1944" spans="1:5">
      <c r="A1944" s="295"/>
      <c r="D1944" s="288"/>
      <c r="E1944" s="562"/>
    </row>
    <row r="1945" spans="1:5">
      <c r="A1945" s="295"/>
      <c r="D1945" s="288"/>
      <c r="E1945" s="562"/>
    </row>
    <row r="1946" spans="1:5">
      <c r="A1946" s="295"/>
      <c r="D1946" s="288"/>
      <c r="E1946" s="562"/>
    </row>
    <row r="1947" spans="1:5">
      <c r="A1947" s="295"/>
      <c r="D1947" s="288"/>
      <c r="E1947" s="562"/>
    </row>
    <row r="1948" spans="1:5">
      <c r="A1948" s="295"/>
      <c r="D1948" s="288"/>
      <c r="E1948" s="562"/>
    </row>
    <row r="1949" spans="1:5">
      <c r="A1949" s="295"/>
      <c r="D1949" s="288"/>
      <c r="E1949" s="562"/>
    </row>
    <row r="1950" spans="1:5">
      <c r="A1950" s="295"/>
      <c r="D1950" s="288"/>
      <c r="E1950" s="562"/>
    </row>
    <row r="1951" spans="1:5">
      <c r="A1951" s="295"/>
      <c r="D1951" s="288"/>
      <c r="E1951" s="562"/>
    </row>
    <row r="1952" spans="1:5">
      <c r="A1952" s="295"/>
      <c r="D1952" s="288"/>
      <c r="E1952" s="562"/>
    </row>
    <row r="1953" spans="1:5">
      <c r="A1953" s="295"/>
      <c r="D1953" s="288"/>
      <c r="E1953" s="562"/>
    </row>
    <row r="1954" spans="1:5">
      <c r="A1954" s="295"/>
      <c r="D1954" s="288"/>
      <c r="E1954" s="562"/>
    </row>
    <row r="1955" spans="1:5">
      <c r="A1955" s="295"/>
      <c r="D1955" s="288"/>
      <c r="E1955" s="562"/>
    </row>
    <row r="1956" spans="1:5">
      <c r="A1956" s="295"/>
      <c r="D1956" s="288"/>
      <c r="E1956" s="562"/>
    </row>
    <row r="1957" spans="1:5">
      <c r="A1957" s="295"/>
      <c r="D1957" s="288"/>
      <c r="E1957" s="562"/>
    </row>
    <row r="1958" spans="1:5">
      <c r="A1958" s="295"/>
      <c r="D1958" s="288"/>
      <c r="E1958" s="562"/>
    </row>
    <row r="1959" spans="1:5">
      <c r="A1959" s="295"/>
      <c r="D1959" s="288"/>
      <c r="E1959" s="562"/>
    </row>
    <row r="1960" spans="1:5">
      <c r="A1960" s="295"/>
      <c r="D1960" s="288"/>
      <c r="E1960" s="562"/>
    </row>
    <row r="1961" spans="1:5">
      <c r="A1961" s="295"/>
      <c r="D1961" s="288"/>
      <c r="E1961" s="562"/>
    </row>
    <row r="1962" spans="1:5">
      <c r="A1962" s="295"/>
      <c r="D1962" s="288"/>
      <c r="E1962" s="562"/>
    </row>
    <row r="1963" spans="1:5">
      <c r="A1963" s="295"/>
      <c r="D1963" s="288"/>
      <c r="E1963" s="562"/>
    </row>
    <row r="1964" spans="1:5">
      <c r="A1964" s="295"/>
      <c r="D1964" s="288"/>
      <c r="E1964" s="562"/>
    </row>
    <row r="1965" spans="1:5">
      <c r="A1965" s="295"/>
      <c r="D1965" s="288"/>
      <c r="E1965" s="562"/>
    </row>
    <row r="1966" spans="1:5">
      <c r="A1966" s="295"/>
      <c r="D1966" s="288"/>
      <c r="E1966" s="562"/>
    </row>
    <row r="1967" spans="1:5">
      <c r="A1967" s="295"/>
      <c r="D1967" s="288"/>
      <c r="E1967" s="562"/>
    </row>
    <row r="1968" spans="1:5">
      <c r="A1968" s="295"/>
      <c r="D1968" s="288"/>
      <c r="E1968" s="562"/>
    </row>
    <row r="1969" spans="1:5">
      <c r="A1969" s="295"/>
      <c r="D1969" s="288"/>
      <c r="E1969" s="562"/>
    </row>
    <row r="1970" spans="1:5">
      <c r="A1970" s="295"/>
      <c r="D1970" s="288"/>
      <c r="E1970" s="562"/>
    </row>
    <row r="1971" spans="1:5">
      <c r="A1971" s="295"/>
      <c r="D1971" s="288"/>
      <c r="E1971" s="562"/>
    </row>
    <row r="1972" spans="1:5">
      <c r="A1972" s="295"/>
      <c r="D1972" s="288"/>
      <c r="E1972" s="562"/>
    </row>
    <row r="1973" spans="1:5">
      <c r="A1973" s="295"/>
      <c r="D1973" s="288"/>
      <c r="E1973" s="562"/>
    </row>
    <row r="1974" spans="1:5">
      <c r="A1974" s="295"/>
      <c r="D1974" s="288"/>
      <c r="E1974" s="562"/>
    </row>
    <row r="1975" spans="1:5">
      <c r="A1975" s="295"/>
      <c r="D1975" s="288"/>
      <c r="E1975" s="562"/>
    </row>
    <row r="1976" spans="1:5">
      <c r="A1976" s="295"/>
      <c r="D1976" s="288"/>
      <c r="E1976" s="562"/>
    </row>
    <row r="1977" spans="1:5">
      <c r="A1977" s="295"/>
      <c r="D1977" s="288"/>
      <c r="E1977" s="562"/>
    </row>
    <row r="1978" spans="1:5">
      <c r="A1978" s="295"/>
      <c r="D1978" s="288"/>
      <c r="E1978" s="562"/>
    </row>
    <row r="1979" spans="1:5">
      <c r="A1979" s="295"/>
      <c r="D1979" s="288"/>
      <c r="E1979" s="562"/>
    </row>
    <row r="1980" spans="1:5">
      <c r="A1980" s="295"/>
      <c r="D1980" s="288"/>
      <c r="E1980" s="562"/>
    </row>
    <row r="1981" spans="1:5">
      <c r="A1981" s="295"/>
      <c r="D1981" s="288"/>
      <c r="E1981" s="562"/>
    </row>
    <row r="1982" spans="1:5">
      <c r="A1982" s="295"/>
      <c r="D1982" s="288"/>
      <c r="E1982" s="562"/>
    </row>
    <row r="1983" spans="1:5">
      <c r="A1983" s="295"/>
      <c r="D1983" s="288"/>
      <c r="E1983" s="562"/>
    </row>
    <row r="1984" spans="1:5">
      <c r="A1984" s="295"/>
      <c r="D1984" s="288"/>
      <c r="E1984" s="562"/>
    </row>
    <row r="1985" spans="1:5">
      <c r="A1985" s="295"/>
      <c r="D1985" s="288"/>
      <c r="E1985" s="562"/>
    </row>
    <row r="1986" spans="1:5">
      <c r="A1986" s="295"/>
      <c r="D1986" s="288"/>
      <c r="E1986" s="562"/>
    </row>
    <row r="1987" spans="1:5">
      <c r="A1987" s="295"/>
      <c r="D1987" s="288"/>
      <c r="E1987" s="562"/>
    </row>
    <row r="1988" spans="1:5">
      <c r="A1988" s="295"/>
      <c r="D1988" s="288"/>
      <c r="E1988" s="562"/>
    </row>
    <row r="1989" spans="1:5">
      <c r="A1989" s="295"/>
      <c r="D1989" s="288"/>
      <c r="E1989" s="562"/>
    </row>
    <row r="1990" spans="1:5">
      <c r="A1990" s="295"/>
      <c r="D1990" s="288"/>
      <c r="E1990" s="562"/>
    </row>
    <row r="1991" spans="1:5">
      <c r="A1991" s="295"/>
      <c r="D1991" s="288"/>
      <c r="E1991" s="562"/>
    </row>
    <row r="1992" spans="1:5">
      <c r="A1992" s="295"/>
      <c r="D1992" s="288"/>
      <c r="E1992" s="562"/>
    </row>
    <row r="1993" spans="1:5">
      <c r="A1993" s="295"/>
      <c r="D1993" s="288"/>
      <c r="E1993" s="562"/>
    </row>
    <row r="1994" spans="1:5">
      <c r="A1994" s="295"/>
      <c r="D1994" s="288"/>
      <c r="E1994" s="562"/>
    </row>
    <row r="1995" spans="1:5">
      <c r="A1995" s="295"/>
      <c r="D1995" s="288"/>
      <c r="E1995" s="562"/>
    </row>
    <row r="1996" spans="1:5">
      <c r="A1996" s="295"/>
      <c r="D1996" s="288"/>
      <c r="E1996" s="562"/>
    </row>
    <row r="1997" spans="1:5">
      <c r="A1997" s="295"/>
      <c r="D1997" s="288"/>
      <c r="E1997" s="562"/>
    </row>
    <row r="1998" spans="1:5">
      <c r="A1998" s="295"/>
      <c r="D1998" s="288"/>
      <c r="E1998" s="562"/>
    </row>
    <row r="1999" spans="1:5">
      <c r="A1999" s="295"/>
      <c r="D1999" s="288"/>
      <c r="E1999" s="562"/>
    </row>
    <row r="2000" spans="1:5">
      <c r="A2000" s="295"/>
      <c r="D2000" s="288"/>
      <c r="E2000" s="562"/>
    </row>
    <row r="2001" spans="1:5">
      <c r="A2001" s="295"/>
      <c r="D2001" s="288"/>
      <c r="E2001" s="562"/>
    </row>
    <row r="2002" spans="1:5">
      <c r="A2002" s="295"/>
      <c r="D2002" s="288"/>
      <c r="E2002" s="562"/>
    </row>
    <row r="2003" spans="1:5">
      <c r="A2003" s="295"/>
      <c r="D2003" s="288"/>
      <c r="E2003" s="562"/>
    </row>
    <row r="2004" spans="1:5">
      <c r="A2004" s="295"/>
      <c r="D2004" s="288"/>
      <c r="E2004" s="562"/>
    </row>
    <row r="2005" spans="1:5">
      <c r="A2005" s="295"/>
      <c r="D2005" s="288"/>
      <c r="E2005" s="562"/>
    </row>
    <row r="2006" spans="1:5">
      <c r="A2006" s="295"/>
      <c r="D2006" s="288"/>
      <c r="E2006" s="562"/>
    </row>
    <row r="2007" spans="1:5">
      <c r="A2007" s="295"/>
      <c r="D2007" s="288"/>
      <c r="E2007" s="562"/>
    </row>
    <row r="2008" spans="1:5">
      <c r="A2008" s="295"/>
      <c r="D2008" s="288"/>
      <c r="E2008" s="562"/>
    </row>
    <row r="2009" spans="1:5">
      <c r="A2009" s="295"/>
      <c r="D2009" s="288"/>
      <c r="E2009" s="562"/>
    </row>
    <row r="2010" spans="1:5">
      <c r="A2010" s="295"/>
      <c r="D2010" s="288"/>
      <c r="E2010" s="562"/>
    </row>
    <row r="2011" spans="1:5">
      <c r="A2011" s="295"/>
      <c r="D2011" s="288"/>
      <c r="E2011" s="562"/>
    </row>
    <row r="2012" spans="1:5">
      <c r="A2012" s="295"/>
      <c r="D2012" s="288"/>
      <c r="E2012" s="562"/>
    </row>
    <row r="2013" spans="1:5">
      <c r="A2013" s="295"/>
      <c r="D2013" s="288"/>
      <c r="E2013" s="562"/>
    </row>
    <row r="2014" spans="1:5">
      <c r="A2014" s="295"/>
      <c r="D2014" s="288"/>
      <c r="E2014" s="562"/>
    </row>
    <row r="2015" spans="1:5">
      <c r="A2015" s="295"/>
      <c r="D2015" s="288"/>
      <c r="E2015" s="562"/>
    </row>
    <row r="2016" spans="1:5">
      <c r="A2016" s="295"/>
      <c r="D2016" s="288"/>
      <c r="E2016" s="562"/>
    </row>
    <row r="2017" spans="1:5">
      <c r="A2017" s="295"/>
      <c r="D2017" s="288"/>
      <c r="E2017" s="562"/>
    </row>
    <row r="2018" spans="1:5">
      <c r="A2018" s="295"/>
      <c r="D2018" s="288"/>
      <c r="E2018" s="562"/>
    </row>
    <row r="2019" spans="1:5">
      <c r="A2019" s="295"/>
      <c r="D2019" s="288"/>
      <c r="E2019" s="562"/>
    </row>
    <row r="2020" spans="1:5">
      <c r="A2020" s="295"/>
      <c r="D2020" s="288"/>
      <c r="E2020" s="562"/>
    </row>
    <row r="2021" spans="1:5">
      <c r="A2021" s="295"/>
      <c r="D2021" s="288"/>
      <c r="E2021" s="562"/>
    </row>
    <row r="2022" spans="1:5">
      <c r="A2022" s="295"/>
      <c r="D2022" s="288"/>
      <c r="E2022" s="562"/>
    </row>
    <row r="2023" spans="1:5">
      <c r="A2023" s="295"/>
      <c r="D2023" s="288"/>
      <c r="E2023" s="562"/>
    </row>
    <row r="2024" spans="1:5">
      <c r="A2024" s="295"/>
      <c r="D2024" s="288"/>
      <c r="E2024" s="562"/>
    </row>
    <row r="2025" spans="1:5">
      <c r="A2025" s="295"/>
      <c r="D2025" s="288"/>
      <c r="E2025" s="562"/>
    </row>
    <row r="2026" spans="1:5">
      <c r="A2026" s="295"/>
      <c r="D2026" s="288"/>
      <c r="E2026" s="562"/>
    </row>
    <row r="2027" spans="1:5">
      <c r="A2027" s="295"/>
      <c r="D2027" s="288"/>
      <c r="E2027" s="562"/>
    </row>
    <row r="2028" spans="1:5">
      <c r="A2028" s="295"/>
      <c r="D2028" s="288"/>
      <c r="E2028" s="562"/>
    </row>
    <row r="2029" spans="1:5">
      <c r="A2029" s="295"/>
      <c r="D2029" s="288"/>
      <c r="E2029" s="562"/>
    </row>
    <row r="2030" spans="1:5">
      <c r="A2030" s="295"/>
      <c r="D2030" s="288"/>
      <c r="E2030" s="562"/>
    </row>
    <row r="2031" spans="1:5">
      <c r="A2031" s="295"/>
      <c r="D2031" s="288"/>
      <c r="E2031" s="562"/>
    </row>
    <row r="2032" spans="1:5">
      <c r="A2032" s="295"/>
      <c r="D2032" s="288"/>
      <c r="E2032" s="562"/>
    </row>
    <row r="2033" spans="1:5">
      <c r="A2033" s="295"/>
      <c r="D2033" s="288"/>
      <c r="E2033" s="562"/>
    </row>
    <row r="2034" spans="1:5">
      <c r="A2034" s="295"/>
      <c r="D2034" s="288"/>
      <c r="E2034" s="562"/>
    </row>
    <row r="2035" spans="1:5">
      <c r="A2035" s="295"/>
      <c r="D2035" s="288"/>
      <c r="E2035" s="562"/>
    </row>
    <row r="2036" spans="1:5">
      <c r="A2036" s="295"/>
      <c r="D2036" s="288"/>
      <c r="E2036" s="562"/>
    </row>
    <row r="2037" spans="1:5">
      <c r="A2037" s="295"/>
      <c r="D2037" s="288"/>
      <c r="E2037" s="562"/>
    </row>
    <row r="2038" spans="1:5">
      <c r="A2038" s="295"/>
      <c r="D2038" s="288"/>
      <c r="E2038" s="562"/>
    </row>
    <row r="2039" spans="1:5">
      <c r="A2039" s="295"/>
      <c r="D2039" s="288"/>
      <c r="E2039" s="562"/>
    </row>
    <row r="2040" spans="1:5">
      <c r="A2040" s="295"/>
      <c r="D2040" s="288"/>
      <c r="E2040" s="562"/>
    </row>
    <row r="2041" spans="1:5">
      <c r="A2041" s="295"/>
      <c r="D2041" s="288"/>
      <c r="E2041" s="562"/>
    </row>
    <row r="2042" spans="1:5">
      <c r="A2042" s="295"/>
      <c r="D2042" s="288"/>
      <c r="E2042" s="562"/>
    </row>
    <row r="2043" spans="1:5">
      <c r="A2043" s="295"/>
      <c r="D2043" s="288"/>
      <c r="E2043" s="562"/>
    </row>
    <row r="2044" spans="1:5">
      <c r="A2044" s="295"/>
      <c r="D2044" s="288"/>
      <c r="E2044" s="562"/>
    </row>
    <row r="2045" spans="1:5">
      <c r="A2045" s="295"/>
      <c r="D2045" s="288"/>
      <c r="E2045" s="562"/>
    </row>
    <row r="2046" spans="1:5">
      <c r="A2046" s="295"/>
      <c r="D2046" s="288"/>
      <c r="E2046" s="562"/>
    </row>
    <row r="2047" spans="1:5">
      <c r="A2047" s="295"/>
      <c r="D2047" s="288"/>
      <c r="E2047" s="562"/>
    </row>
    <row r="2048" spans="1:5">
      <c r="A2048" s="295"/>
      <c r="D2048" s="288"/>
      <c r="E2048" s="562"/>
    </row>
    <row r="2049" spans="1:5">
      <c r="A2049" s="295"/>
      <c r="D2049" s="288"/>
      <c r="E2049" s="562"/>
    </row>
    <row r="2050" spans="1:5">
      <c r="A2050" s="295"/>
      <c r="D2050" s="288"/>
      <c r="E2050" s="562"/>
    </row>
    <row r="2051" spans="1:5">
      <c r="A2051" s="295"/>
      <c r="D2051" s="288"/>
      <c r="E2051" s="562"/>
    </row>
    <row r="2052" spans="1:5">
      <c r="A2052" s="295"/>
      <c r="D2052" s="288"/>
      <c r="E2052" s="562"/>
    </row>
    <row r="2053" spans="1:5">
      <c r="A2053" s="295"/>
      <c r="D2053" s="288"/>
      <c r="E2053" s="562"/>
    </row>
    <row r="2054" spans="1:5">
      <c r="A2054" s="295"/>
      <c r="D2054" s="288"/>
      <c r="E2054" s="562"/>
    </row>
    <row r="2055" spans="1:5">
      <c r="A2055" s="295"/>
      <c r="D2055" s="288"/>
      <c r="E2055" s="562"/>
    </row>
    <row r="2056" spans="1:5">
      <c r="A2056" s="295"/>
      <c r="D2056" s="288"/>
      <c r="E2056" s="562"/>
    </row>
    <row r="2057" spans="1:5">
      <c r="A2057" s="295"/>
      <c r="D2057" s="288"/>
      <c r="E2057" s="562"/>
    </row>
    <row r="2058" spans="1:5">
      <c r="A2058" s="295"/>
      <c r="D2058" s="288"/>
      <c r="E2058" s="562"/>
    </row>
    <row r="2059" spans="1:5">
      <c r="A2059" s="295"/>
      <c r="D2059" s="288"/>
      <c r="E2059" s="562"/>
    </row>
    <row r="2060" spans="1:5">
      <c r="A2060" s="295"/>
      <c r="D2060" s="288"/>
      <c r="E2060" s="562"/>
    </row>
    <row r="2061" spans="1:5">
      <c r="A2061" s="295"/>
      <c r="D2061" s="288"/>
      <c r="E2061" s="562"/>
    </row>
    <row r="2062" spans="1:5">
      <c r="A2062" s="295"/>
      <c r="D2062" s="288"/>
      <c r="E2062" s="562"/>
    </row>
    <row r="2063" spans="1:5">
      <c r="A2063" s="295"/>
      <c r="D2063" s="288"/>
      <c r="E2063" s="562"/>
    </row>
    <row r="2064" spans="1:5">
      <c r="A2064" s="295"/>
      <c r="D2064" s="288"/>
      <c r="E2064" s="562"/>
    </row>
    <row r="2065" spans="1:5">
      <c r="A2065" s="295"/>
      <c r="D2065" s="288"/>
      <c r="E2065" s="562"/>
    </row>
    <row r="2066" spans="1:5">
      <c r="A2066" s="295"/>
      <c r="D2066" s="288"/>
      <c r="E2066" s="562"/>
    </row>
    <row r="2067" spans="1:5">
      <c r="A2067" s="295"/>
      <c r="D2067" s="288"/>
      <c r="E2067" s="562"/>
    </row>
    <row r="2068" spans="1:5">
      <c r="A2068" s="295"/>
      <c r="D2068" s="288"/>
      <c r="E2068" s="562"/>
    </row>
    <row r="2069" spans="1:5">
      <c r="A2069" s="295"/>
      <c r="D2069" s="288"/>
      <c r="E2069" s="562"/>
    </row>
    <row r="2070" spans="1:5">
      <c r="A2070" s="295"/>
      <c r="D2070" s="288"/>
      <c r="E2070" s="562"/>
    </row>
    <row r="2071" spans="1:5">
      <c r="A2071" s="295"/>
      <c r="D2071" s="288"/>
      <c r="E2071" s="562"/>
    </row>
    <row r="2072" spans="1:5">
      <c r="A2072" s="295"/>
      <c r="D2072" s="288"/>
      <c r="E2072" s="562"/>
    </row>
    <row r="2073" spans="1:5">
      <c r="A2073" s="295"/>
      <c r="D2073" s="288"/>
      <c r="E2073" s="562"/>
    </row>
    <row r="2074" spans="1:5">
      <c r="A2074" s="295"/>
      <c r="D2074" s="288"/>
      <c r="E2074" s="562"/>
    </row>
    <row r="2075" spans="1:5">
      <c r="A2075" s="295"/>
      <c r="D2075" s="288"/>
      <c r="E2075" s="562"/>
    </row>
    <row r="2076" spans="1:5">
      <c r="A2076" s="295"/>
      <c r="D2076" s="288"/>
      <c r="E2076" s="562"/>
    </row>
    <row r="2077" spans="1:5">
      <c r="A2077" s="295"/>
      <c r="D2077" s="288"/>
      <c r="E2077" s="562"/>
    </row>
    <row r="2078" spans="1:5">
      <c r="A2078" s="295"/>
      <c r="D2078" s="288"/>
      <c r="E2078" s="562"/>
    </row>
    <row r="2079" spans="1:5">
      <c r="A2079" s="295"/>
      <c r="D2079" s="288"/>
      <c r="E2079" s="562"/>
    </row>
    <row r="2080" spans="1:5">
      <c r="A2080" s="295"/>
      <c r="D2080" s="288"/>
      <c r="E2080" s="562"/>
    </row>
    <row r="2081" spans="1:5">
      <c r="A2081" s="295"/>
      <c r="D2081" s="288"/>
      <c r="E2081" s="562"/>
    </row>
    <row r="2082" spans="1:5">
      <c r="A2082" s="295"/>
      <c r="D2082" s="288"/>
      <c r="E2082" s="562"/>
    </row>
    <row r="2083" spans="1:5">
      <c r="A2083" s="295"/>
      <c r="D2083" s="288"/>
      <c r="E2083" s="562"/>
    </row>
    <row r="2084" spans="1:5">
      <c r="A2084" s="295"/>
      <c r="D2084" s="288"/>
      <c r="E2084" s="562"/>
    </row>
    <row r="2085" spans="1:5">
      <c r="A2085" s="295"/>
      <c r="D2085" s="288"/>
      <c r="E2085" s="562"/>
    </row>
    <row r="2086" spans="1:5">
      <c r="A2086" s="295"/>
      <c r="D2086" s="288"/>
      <c r="E2086" s="562"/>
    </row>
    <row r="2087" spans="1:5">
      <c r="A2087" s="295"/>
      <c r="D2087" s="288"/>
      <c r="E2087" s="562"/>
    </row>
    <row r="2088" spans="1:5">
      <c r="A2088" s="295"/>
      <c r="D2088" s="288"/>
      <c r="E2088" s="562"/>
    </row>
    <row r="2089" spans="1:5">
      <c r="A2089" s="295"/>
      <c r="D2089" s="288"/>
      <c r="E2089" s="562"/>
    </row>
    <row r="2090" spans="1:5">
      <c r="A2090" s="295"/>
      <c r="D2090" s="288"/>
      <c r="E2090" s="562"/>
    </row>
    <row r="2091" spans="1:5">
      <c r="A2091" s="295"/>
      <c r="D2091" s="288"/>
      <c r="E2091" s="562"/>
    </row>
    <row r="2092" spans="1:5">
      <c r="A2092" s="295"/>
      <c r="D2092" s="288"/>
      <c r="E2092" s="562"/>
    </row>
    <row r="2093" spans="1:5">
      <c r="A2093" s="295"/>
      <c r="D2093" s="288"/>
      <c r="E2093" s="562"/>
    </row>
    <row r="2094" spans="1:5">
      <c r="A2094" s="295"/>
      <c r="D2094" s="288"/>
      <c r="E2094" s="562"/>
    </row>
    <row r="2095" spans="1:5">
      <c r="A2095" s="295"/>
      <c r="D2095" s="288"/>
      <c r="E2095" s="562"/>
    </row>
    <row r="2096" spans="1:5">
      <c r="A2096" s="295"/>
      <c r="D2096" s="288"/>
      <c r="E2096" s="562"/>
    </row>
    <row r="2097" spans="1:5">
      <c r="A2097" s="295"/>
      <c r="D2097" s="288"/>
      <c r="E2097" s="562"/>
    </row>
    <row r="2098" spans="1:5">
      <c r="A2098" s="295"/>
      <c r="D2098" s="288"/>
      <c r="E2098" s="562"/>
    </row>
    <row r="2099" spans="1:5">
      <c r="A2099" s="295"/>
      <c r="D2099" s="288"/>
      <c r="E2099" s="562"/>
    </row>
    <row r="2100" spans="1:5">
      <c r="A2100" s="295"/>
      <c r="D2100" s="288"/>
      <c r="E2100" s="562"/>
    </row>
    <row r="2101" spans="1:5">
      <c r="A2101" s="295"/>
      <c r="D2101" s="288"/>
      <c r="E2101" s="562"/>
    </row>
    <row r="2102" spans="1:5">
      <c r="A2102" s="295"/>
      <c r="D2102" s="288"/>
      <c r="E2102" s="562"/>
    </row>
    <row r="2103" spans="1:5">
      <c r="A2103" s="295"/>
      <c r="D2103" s="288"/>
      <c r="E2103" s="562"/>
    </row>
    <row r="2104" spans="1:5">
      <c r="A2104" s="295"/>
      <c r="D2104" s="288"/>
      <c r="E2104" s="562"/>
    </row>
    <row r="2105" spans="1:5">
      <c r="A2105" s="295"/>
      <c r="D2105" s="288"/>
      <c r="E2105" s="562"/>
    </row>
    <row r="2106" spans="1:5">
      <c r="A2106" s="295"/>
      <c r="D2106" s="288"/>
      <c r="E2106" s="562"/>
    </row>
    <row r="2107" spans="1:5">
      <c r="A2107" s="295"/>
      <c r="D2107" s="288"/>
      <c r="E2107" s="562"/>
    </row>
    <row r="2108" spans="1:5">
      <c r="A2108" s="295"/>
      <c r="D2108" s="288"/>
      <c r="E2108" s="562"/>
    </row>
    <row r="2109" spans="1:5">
      <c r="A2109" s="295"/>
      <c r="D2109" s="288"/>
      <c r="E2109" s="562"/>
    </row>
    <row r="2110" spans="1:5">
      <c r="A2110" s="295"/>
      <c r="D2110" s="288"/>
      <c r="E2110" s="562"/>
    </row>
    <row r="2111" spans="1:5">
      <c r="A2111" s="295"/>
      <c r="D2111" s="288"/>
      <c r="E2111" s="562"/>
    </row>
    <row r="2112" spans="1:5">
      <c r="A2112" s="295"/>
      <c r="D2112" s="288"/>
      <c r="E2112" s="562"/>
    </row>
    <row r="2113" spans="1:5">
      <c r="A2113" s="295"/>
      <c r="D2113" s="288"/>
      <c r="E2113" s="562"/>
    </row>
    <row r="2114" spans="1:5">
      <c r="A2114" s="295"/>
      <c r="D2114" s="288"/>
      <c r="E2114" s="562"/>
    </row>
    <row r="2115" spans="1:5">
      <c r="A2115" s="295"/>
      <c r="D2115" s="288"/>
      <c r="E2115" s="562"/>
    </row>
    <row r="2116" spans="1:5">
      <c r="A2116" s="295"/>
      <c r="D2116" s="288"/>
      <c r="E2116" s="562"/>
    </row>
    <row r="2117" spans="1:5">
      <c r="A2117" s="295"/>
      <c r="D2117" s="288"/>
      <c r="E2117" s="562"/>
    </row>
    <row r="2118" spans="1:5">
      <c r="A2118" s="295"/>
      <c r="D2118" s="288"/>
      <c r="E2118" s="562"/>
    </row>
    <row r="2119" spans="1:5">
      <c r="A2119" s="295"/>
      <c r="D2119" s="288"/>
      <c r="E2119" s="562"/>
    </row>
    <row r="2120" spans="1:5">
      <c r="A2120" s="295"/>
      <c r="D2120" s="288"/>
      <c r="E2120" s="562"/>
    </row>
    <row r="2121" spans="1:5">
      <c r="A2121" s="295"/>
      <c r="D2121" s="288"/>
      <c r="E2121" s="562"/>
    </row>
    <row r="2122" spans="1:5">
      <c r="A2122" s="295"/>
      <c r="D2122" s="288"/>
      <c r="E2122" s="562"/>
    </row>
    <row r="2123" spans="1:5">
      <c r="A2123" s="295"/>
      <c r="D2123" s="288"/>
      <c r="E2123" s="562"/>
    </row>
    <row r="2124" spans="1:5">
      <c r="A2124" s="295"/>
      <c r="D2124" s="288"/>
      <c r="E2124" s="562"/>
    </row>
    <row r="2125" spans="1:5">
      <c r="A2125" s="295"/>
      <c r="D2125" s="288"/>
      <c r="E2125" s="562"/>
    </row>
    <row r="2126" spans="1:5">
      <c r="A2126" s="295"/>
      <c r="D2126" s="288"/>
      <c r="E2126" s="562"/>
    </row>
    <row r="2127" spans="1:5">
      <c r="A2127" s="295"/>
      <c r="D2127" s="288"/>
      <c r="E2127" s="562"/>
    </row>
    <row r="2128" spans="1:5">
      <c r="A2128" s="295"/>
      <c r="D2128" s="288"/>
      <c r="E2128" s="562"/>
    </row>
    <row r="2129" spans="1:5">
      <c r="A2129" s="295"/>
      <c r="D2129" s="288"/>
      <c r="E2129" s="562"/>
    </row>
    <row r="2130" spans="1:5">
      <c r="A2130" s="295"/>
      <c r="D2130" s="288"/>
      <c r="E2130" s="562"/>
    </row>
    <row r="2131" spans="1:5">
      <c r="A2131" s="295"/>
      <c r="D2131" s="288"/>
      <c r="E2131" s="562"/>
    </row>
    <row r="2132" spans="1:5">
      <c r="A2132" s="295"/>
      <c r="D2132" s="288"/>
      <c r="E2132" s="562"/>
    </row>
    <row r="2133" spans="1:5">
      <c r="A2133" s="295"/>
      <c r="D2133" s="288"/>
      <c r="E2133" s="562"/>
    </row>
    <row r="2134" spans="1:5">
      <c r="A2134" s="295"/>
      <c r="D2134" s="288"/>
      <c r="E2134" s="562"/>
    </row>
    <row r="2135" spans="1:5">
      <c r="A2135" s="295"/>
      <c r="D2135" s="288"/>
      <c r="E2135" s="562"/>
    </row>
    <row r="2136" spans="1:5">
      <c r="A2136" s="295"/>
      <c r="D2136" s="288"/>
      <c r="E2136" s="562"/>
    </row>
    <row r="2137" spans="1:5">
      <c r="A2137" s="295"/>
      <c r="D2137" s="288"/>
      <c r="E2137" s="562"/>
    </row>
    <row r="2138" spans="1:5">
      <c r="A2138" s="295"/>
      <c r="D2138" s="288"/>
      <c r="E2138" s="562"/>
    </row>
    <row r="2139" spans="1:5">
      <c r="A2139" s="295"/>
      <c r="D2139" s="288"/>
      <c r="E2139" s="562"/>
    </row>
    <row r="2140" spans="1:5">
      <c r="A2140" s="295"/>
      <c r="D2140" s="288"/>
      <c r="E2140" s="562"/>
    </row>
    <row r="2141" spans="1:5">
      <c r="A2141" s="295"/>
      <c r="D2141" s="288"/>
      <c r="E2141" s="562"/>
    </row>
    <row r="2142" spans="1:5">
      <c r="A2142" s="295"/>
      <c r="D2142" s="288"/>
      <c r="E2142" s="562"/>
    </row>
    <row r="2143" spans="1:5">
      <c r="A2143" s="295"/>
      <c r="D2143" s="288"/>
      <c r="E2143" s="562"/>
    </row>
    <row r="2144" spans="1:5">
      <c r="A2144" s="295"/>
      <c r="D2144" s="288"/>
      <c r="E2144" s="562"/>
    </row>
    <row r="2145" spans="1:5">
      <c r="A2145" s="295"/>
      <c r="D2145" s="288"/>
      <c r="E2145" s="562"/>
    </row>
    <row r="2146" spans="1:5">
      <c r="A2146" s="295"/>
      <c r="D2146" s="288"/>
      <c r="E2146" s="562"/>
    </row>
    <row r="2147" spans="1:5">
      <c r="A2147" s="295"/>
      <c r="D2147" s="288"/>
      <c r="E2147" s="562"/>
    </row>
    <row r="2148" spans="1:5">
      <c r="A2148" s="295"/>
      <c r="D2148" s="288"/>
      <c r="E2148" s="562"/>
    </row>
    <row r="2149" spans="1:5">
      <c r="A2149" s="295"/>
      <c r="D2149" s="288"/>
      <c r="E2149" s="562"/>
    </row>
    <row r="2150" spans="1:5">
      <c r="A2150" s="295"/>
      <c r="D2150" s="288"/>
      <c r="E2150" s="562"/>
    </row>
    <row r="2151" spans="1:5">
      <c r="A2151" s="295"/>
      <c r="D2151" s="288"/>
      <c r="E2151" s="562"/>
    </row>
    <row r="2152" spans="1:5">
      <c r="A2152" s="295"/>
      <c r="D2152" s="288"/>
      <c r="E2152" s="562"/>
    </row>
    <row r="2153" spans="1:5">
      <c r="A2153" s="295"/>
      <c r="D2153" s="288"/>
      <c r="E2153" s="562"/>
    </row>
    <row r="2154" spans="1:5">
      <c r="A2154" s="295"/>
      <c r="D2154" s="288"/>
      <c r="E2154" s="562"/>
    </row>
    <row r="2155" spans="1:5">
      <c r="A2155" s="295"/>
      <c r="D2155" s="288"/>
      <c r="E2155" s="562"/>
    </row>
    <row r="2156" spans="1:5">
      <c r="A2156" s="295"/>
      <c r="D2156" s="288"/>
      <c r="E2156" s="562"/>
    </row>
    <row r="2157" spans="1:5">
      <c r="A2157" s="295"/>
      <c r="D2157" s="288"/>
      <c r="E2157" s="562"/>
    </row>
    <row r="2158" spans="1:5">
      <c r="A2158" s="295"/>
      <c r="D2158" s="288"/>
      <c r="E2158" s="562"/>
    </row>
    <row r="2159" spans="1:5">
      <c r="A2159" s="295"/>
      <c r="D2159" s="288"/>
      <c r="E2159" s="562"/>
    </row>
    <row r="2160" spans="1:5">
      <c r="A2160" s="295"/>
      <c r="D2160" s="288"/>
      <c r="E2160" s="562"/>
    </row>
    <row r="2161" spans="1:5">
      <c r="A2161" s="295"/>
      <c r="D2161" s="288"/>
      <c r="E2161" s="562"/>
    </row>
    <row r="2162" spans="1:5">
      <c r="A2162" s="295"/>
      <c r="D2162" s="288"/>
      <c r="E2162" s="562"/>
    </row>
    <row r="2163" spans="1:5">
      <c r="A2163" s="295"/>
      <c r="D2163" s="288"/>
      <c r="E2163" s="562"/>
    </row>
    <row r="2164" spans="1:5">
      <c r="A2164" s="295"/>
      <c r="D2164" s="288"/>
      <c r="E2164" s="562"/>
    </row>
    <row r="2165" spans="1:5">
      <c r="A2165" s="295"/>
      <c r="D2165" s="288"/>
      <c r="E2165" s="562"/>
    </row>
    <row r="2166" spans="1:5">
      <c r="A2166" s="295"/>
      <c r="D2166" s="288"/>
      <c r="E2166" s="562"/>
    </row>
    <row r="2167" spans="1:5">
      <c r="A2167" s="295"/>
      <c r="D2167" s="288"/>
      <c r="E2167" s="562"/>
    </row>
    <row r="2168" spans="1:5">
      <c r="A2168" s="295"/>
      <c r="D2168" s="288"/>
      <c r="E2168" s="562"/>
    </row>
    <row r="2169" spans="1:5">
      <c r="A2169" s="295"/>
      <c r="D2169" s="288"/>
      <c r="E2169" s="562"/>
    </row>
    <row r="2170" spans="1:5">
      <c r="A2170" s="295"/>
      <c r="D2170" s="288"/>
      <c r="E2170" s="562"/>
    </row>
    <row r="2171" spans="1:5">
      <c r="A2171" s="295"/>
      <c r="D2171" s="288"/>
      <c r="E2171" s="562"/>
    </row>
    <row r="2172" spans="1:5">
      <c r="A2172" s="295"/>
      <c r="D2172" s="288"/>
      <c r="E2172" s="562"/>
    </row>
    <row r="2173" spans="1:5">
      <c r="A2173" s="295"/>
      <c r="D2173" s="288"/>
      <c r="E2173" s="562"/>
    </row>
    <row r="2174" spans="1:5">
      <c r="A2174" s="295"/>
      <c r="D2174" s="288"/>
      <c r="E2174" s="562"/>
    </row>
    <row r="2175" spans="1:5">
      <c r="A2175" s="295"/>
      <c r="D2175" s="288"/>
      <c r="E2175" s="562"/>
    </row>
    <row r="2176" spans="1:5">
      <c r="A2176" s="295"/>
      <c r="D2176" s="288"/>
      <c r="E2176" s="562"/>
    </row>
    <row r="2177" spans="1:5">
      <c r="A2177" s="295"/>
      <c r="D2177" s="288"/>
      <c r="E2177" s="562"/>
    </row>
    <row r="2178" spans="1:5">
      <c r="A2178" s="295"/>
      <c r="D2178" s="288"/>
      <c r="E2178" s="562"/>
    </row>
    <row r="2179" spans="1:5">
      <c r="A2179" s="295"/>
      <c r="D2179" s="288"/>
      <c r="E2179" s="562"/>
    </row>
    <row r="2180" spans="1:5">
      <c r="A2180" s="295"/>
      <c r="D2180" s="288"/>
      <c r="E2180" s="562"/>
    </row>
    <row r="2181" spans="1:5">
      <c r="A2181" s="295"/>
      <c r="D2181" s="288"/>
      <c r="E2181" s="562"/>
    </row>
    <row r="2182" spans="1:5">
      <c r="A2182" s="295"/>
      <c r="D2182" s="288"/>
      <c r="E2182" s="562"/>
    </row>
    <row r="2183" spans="1:5">
      <c r="A2183" s="295"/>
      <c r="D2183" s="288"/>
      <c r="E2183" s="562"/>
    </row>
    <row r="2184" spans="1:5">
      <c r="A2184" s="295"/>
      <c r="D2184" s="288"/>
      <c r="E2184" s="562"/>
    </row>
    <row r="2185" spans="1:5">
      <c r="A2185" s="295"/>
      <c r="D2185" s="288"/>
      <c r="E2185" s="562"/>
    </row>
    <row r="2186" spans="1:5">
      <c r="A2186" s="295"/>
      <c r="D2186" s="288"/>
      <c r="E2186" s="562"/>
    </row>
    <row r="2187" spans="1:5">
      <c r="A2187" s="295"/>
      <c r="D2187" s="288"/>
      <c r="E2187" s="562"/>
    </row>
    <row r="2188" spans="1:5">
      <c r="A2188" s="295"/>
      <c r="D2188" s="288"/>
      <c r="E2188" s="562"/>
    </row>
    <row r="2189" spans="1:5">
      <c r="A2189" s="295"/>
      <c r="D2189" s="288"/>
      <c r="E2189" s="562"/>
    </row>
    <row r="2190" spans="1:5">
      <c r="A2190" s="295"/>
      <c r="D2190" s="288"/>
      <c r="E2190" s="562"/>
    </row>
    <row r="2191" spans="1:5">
      <c r="A2191" s="295"/>
      <c r="D2191" s="288"/>
      <c r="E2191" s="562"/>
    </row>
    <row r="2192" spans="1:5">
      <c r="A2192" s="295"/>
      <c r="D2192" s="288"/>
      <c r="E2192" s="562"/>
    </row>
    <row r="2193" spans="1:5">
      <c r="A2193" s="295"/>
      <c r="D2193" s="288"/>
      <c r="E2193" s="562"/>
    </row>
    <row r="2194" spans="1:5">
      <c r="A2194" s="295"/>
      <c r="D2194" s="288"/>
      <c r="E2194" s="562"/>
    </row>
    <row r="2195" spans="1:5">
      <c r="A2195" s="295"/>
      <c r="D2195" s="288"/>
      <c r="E2195" s="562"/>
    </row>
    <row r="2196" spans="1:5">
      <c r="A2196" s="295"/>
      <c r="D2196" s="288"/>
      <c r="E2196" s="562"/>
    </row>
    <row r="2197" spans="1:5">
      <c r="A2197" s="295"/>
      <c r="D2197" s="288"/>
      <c r="E2197" s="562"/>
    </row>
    <row r="2198" spans="1:5">
      <c r="A2198" s="295"/>
      <c r="D2198" s="288"/>
      <c r="E2198" s="562"/>
    </row>
    <row r="2199" spans="1:5">
      <c r="A2199" s="295"/>
      <c r="D2199" s="288"/>
      <c r="E2199" s="562"/>
    </row>
    <row r="2200" spans="1:5">
      <c r="A2200" s="295"/>
      <c r="D2200" s="288"/>
      <c r="E2200" s="562"/>
    </row>
    <row r="2201" spans="1:5">
      <c r="A2201" s="295"/>
      <c r="D2201" s="288"/>
      <c r="E2201" s="562"/>
    </row>
    <row r="2202" spans="1:5">
      <c r="A2202" s="295"/>
      <c r="D2202" s="288"/>
      <c r="E2202" s="562"/>
    </row>
    <row r="2203" spans="1:5">
      <c r="A2203" s="295"/>
      <c r="D2203" s="288"/>
      <c r="E2203" s="562"/>
    </row>
    <row r="2204" spans="1:5">
      <c r="A2204" s="295"/>
      <c r="D2204" s="288"/>
      <c r="E2204" s="562"/>
    </row>
    <row r="2205" spans="1:5">
      <c r="A2205" s="295"/>
      <c r="D2205" s="288"/>
      <c r="E2205" s="562"/>
    </row>
    <row r="2206" spans="1:5">
      <c r="A2206" s="295"/>
      <c r="D2206" s="288"/>
      <c r="E2206" s="562"/>
    </row>
    <row r="2207" spans="1:5">
      <c r="A2207" s="295"/>
      <c r="D2207" s="288"/>
      <c r="E2207" s="562"/>
    </row>
    <row r="2208" spans="1:5">
      <c r="A2208" s="295"/>
      <c r="D2208" s="288"/>
      <c r="E2208" s="562"/>
    </row>
    <row r="2209" spans="1:5">
      <c r="A2209" s="295"/>
      <c r="D2209" s="288"/>
      <c r="E2209" s="562"/>
    </row>
    <row r="2210" spans="1:5">
      <c r="A2210" s="295"/>
      <c r="D2210" s="288"/>
      <c r="E2210" s="562"/>
    </row>
    <row r="2211" spans="1:5">
      <c r="A2211" s="295"/>
      <c r="D2211" s="288"/>
      <c r="E2211" s="562"/>
    </row>
    <row r="2212" spans="1:5">
      <c r="A2212" s="295"/>
      <c r="D2212" s="288"/>
      <c r="E2212" s="562"/>
    </row>
    <row r="2213" spans="1:5">
      <c r="A2213" s="295"/>
      <c r="D2213" s="288"/>
      <c r="E2213" s="562"/>
    </row>
    <row r="2214" spans="1:5">
      <c r="A2214" s="295"/>
      <c r="D2214" s="288"/>
      <c r="E2214" s="562"/>
    </row>
    <row r="2215" spans="1:5">
      <c r="A2215" s="295"/>
      <c r="D2215" s="288"/>
      <c r="E2215" s="562"/>
    </row>
    <row r="2216" spans="1:5">
      <c r="A2216" s="295"/>
      <c r="D2216" s="288"/>
      <c r="E2216" s="562"/>
    </row>
    <row r="2217" spans="1:5">
      <c r="A2217" s="295"/>
      <c r="D2217" s="288"/>
      <c r="E2217" s="562"/>
    </row>
    <row r="2218" spans="1:5">
      <c r="A2218" s="295"/>
      <c r="D2218" s="288"/>
      <c r="E2218" s="562"/>
    </row>
    <row r="2219" spans="1:5">
      <c r="A2219" s="295"/>
      <c r="D2219" s="288"/>
      <c r="E2219" s="562"/>
    </row>
    <row r="2220" spans="1:5">
      <c r="A2220" s="295"/>
      <c r="D2220" s="288"/>
      <c r="E2220" s="562"/>
    </row>
    <row r="2221" spans="1:5">
      <c r="A2221" s="295"/>
      <c r="D2221" s="288"/>
      <c r="E2221" s="562"/>
    </row>
    <row r="2222" spans="1:5">
      <c r="A2222" s="295"/>
      <c r="D2222" s="288"/>
      <c r="E2222" s="562"/>
    </row>
    <row r="2223" spans="1:5">
      <c r="A2223" s="295"/>
      <c r="D2223" s="288"/>
      <c r="E2223" s="562"/>
    </row>
    <row r="2224" spans="1:5">
      <c r="A2224" s="295"/>
      <c r="D2224" s="288"/>
      <c r="E2224" s="562"/>
    </row>
    <row r="2225" spans="1:5">
      <c r="A2225" s="295"/>
      <c r="D2225" s="288"/>
      <c r="E2225" s="562"/>
    </row>
    <row r="2226" spans="1:5">
      <c r="A2226" s="295"/>
      <c r="D2226" s="288"/>
      <c r="E2226" s="562"/>
    </row>
    <row r="2227" spans="1:5">
      <c r="A2227" s="295"/>
      <c r="D2227" s="288"/>
      <c r="E2227" s="562"/>
    </row>
    <row r="2228" spans="1:5">
      <c r="A2228" s="295"/>
      <c r="D2228" s="288"/>
      <c r="E2228" s="562"/>
    </row>
    <row r="2229" spans="1:5">
      <c r="A2229" s="295"/>
      <c r="D2229" s="288"/>
      <c r="E2229" s="562"/>
    </row>
    <row r="2230" spans="1:5">
      <c r="A2230" s="295"/>
      <c r="D2230" s="288"/>
      <c r="E2230" s="562"/>
    </row>
    <row r="2231" spans="1:5">
      <c r="A2231" s="295"/>
      <c r="D2231" s="288"/>
      <c r="E2231" s="562"/>
    </row>
    <row r="2232" spans="1:5">
      <c r="A2232" s="295"/>
      <c r="D2232" s="288"/>
      <c r="E2232" s="562"/>
    </row>
    <row r="2233" spans="1:5">
      <c r="A2233" s="295"/>
      <c r="D2233" s="288"/>
      <c r="E2233" s="562"/>
    </row>
    <row r="2234" spans="1:5">
      <c r="A2234" s="295"/>
      <c r="D2234" s="288"/>
      <c r="E2234" s="562"/>
    </row>
    <row r="2235" spans="1:5">
      <c r="A2235" s="295"/>
      <c r="D2235" s="288"/>
      <c r="E2235" s="562"/>
    </row>
    <row r="2236" spans="1:5">
      <c r="A2236" s="295"/>
      <c r="D2236" s="288"/>
      <c r="E2236" s="562"/>
    </row>
    <row r="2237" spans="1:5">
      <c r="A2237" s="295"/>
      <c r="D2237" s="288"/>
      <c r="E2237" s="562"/>
    </row>
    <row r="2238" spans="1:5">
      <c r="A2238" s="295"/>
      <c r="D2238" s="288"/>
      <c r="E2238" s="562"/>
    </row>
    <row r="2239" spans="1:5">
      <c r="A2239" s="295"/>
      <c r="D2239" s="288"/>
      <c r="E2239" s="562"/>
    </row>
    <row r="2240" spans="1:5">
      <c r="A2240" s="295"/>
      <c r="D2240" s="288"/>
      <c r="E2240" s="562"/>
    </row>
    <row r="2241" spans="1:5">
      <c r="A2241" s="295"/>
      <c r="D2241" s="288"/>
      <c r="E2241" s="562"/>
    </row>
    <row r="2242" spans="1:5">
      <c r="A2242" s="295"/>
      <c r="D2242" s="288"/>
      <c r="E2242" s="562"/>
    </row>
    <row r="2243" spans="1:5">
      <c r="A2243" s="295"/>
      <c r="D2243" s="288"/>
      <c r="E2243" s="562"/>
    </row>
    <row r="2244" spans="1:5">
      <c r="A2244" s="295"/>
      <c r="D2244" s="288"/>
      <c r="E2244" s="562"/>
    </row>
    <row r="2245" spans="1:5">
      <c r="A2245" s="295"/>
      <c r="D2245" s="288"/>
      <c r="E2245" s="562"/>
    </row>
    <row r="2246" spans="1:5">
      <c r="A2246" s="295"/>
      <c r="D2246" s="288"/>
      <c r="E2246" s="562"/>
    </row>
    <row r="2247" spans="1:5">
      <c r="A2247" s="295"/>
      <c r="D2247" s="288"/>
      <c r="E2247" s="562"/>
    </row>
    <row r="2248" spans="1:5">
      <c r="A2248" s="295"/>
      <c r="D2248" s="288"/>
      <c r="E2248" s="562"/>
    </row>
    <row r="2249" spans="1:5">
      <c r="A2249" s="295"/>
      <c r="D2249" s="288"/>
      <c r="E2249" s="562"/>
    </row>
    <row r="2250" spans="1:5">
      <c r="A2250" s="295"/>
      <c r="D2250" s="288"/>
      <c r="E2250" s="562"/>
    </row>
    <row r="2251" spans="1:5">
      <c r="A2251" s="295"/>
      <c r="D2251" s="288"/>
      <c r="E2251" s="562"/>
    </row>
    <row r="2252" spans="1:5">
      <c r="A2252" s="295"/>
      <c r="D2252" s="288"/>
      <c r="E2252" s="562"/>
    </row>
    <row r="2253" spans="1:5">
      <c r="A2253" s="295"/>
      <c r="D2253" s="288"/>
      <c r="E2253" s="562"/>
    </row>
    <row r="2254" spans="1:5">
      <c r="A2254" s="295"/>
      <c r="D2254" s="288"/>
      <c r="E2254" s="562"/>
    </row>
    <row r="2255" spans="1:5">
      <c r="A2255" s="295"/>
      <c r="D2255" s="288"/>
      <c r="E2255" s="562"/>
    </row>
    <row r="2256" spans="1:5">
      <c r="A2256" s="295"/>
      <c r="D2256" s="288"/>
      <c r="E2256" s="562"/>
    </row>
    <row r="2257" spans="1:5">
      <c r="A2257" s="295"/>
      <c r="D2257" s="288"/>
      <c r="E2257" s="562"/>
    </row>
    <row r="2258" spans="1:5">
      <c r="A2258" s="295"/>
      <c r="D2258" s="288"/>
      <c r="E2258" s="562"/>
    </row>
    <row r="2259" spans="1:5">
      <c r="A2259" s="295"/>
      <c r="D2259" s="288"/>
      <c r="E2259" s="562"/>
    </row>
    <row r="2260" spans="1:5">
      <c r="A2260" s="295"/>
      <c r="D2260" s="288"/>
      <c r="E2260" s="562"/>
    </row>
    <row r="2261" spans="1:5">
      <c r="A2261" s="295"/>
      <c r="D2261" s="288"/>
      <c r="E2261" s="562"/>
    </row>
    <row r="2262" spans="1:5">
      <c r="A2262" s="295"/>
      <c r="D2262" s="288"/>
      <c r="E2262" s="562"/>
    </row>
    <row r="2263" spans="1:5">
      <c r="A2263" s="295"/>
      <c r="D2263" s="288"/>
      <c r="E2263" s="562"/>
    </row>
    <row r="2264" spans="1:5">
      <c r="A2264" s="295"/>
      <c r="D2264" s="288"/>
      <c r="E2264" s="562"/>
    </row>
    <row r="2265" spans="1:5">
      <c r="A2265" s="295"/>
      <c r="D2265" s="288"/>
      <c r="E2265" s="562"/>
    </row>
    <row r="2266" spans="1:5">
      <c r="A2266" s="295"/>
      <c r="D2266" s="288"/>
      <c r="E2266" s="562"/>
    </row>
    <row r="2267" spans="1:5">
      <c r="A2267" s="295"/>
      <c r="D2267" s="288"/>
      <c r="E2267" s="562"/>
    </row>
    <row r="2268" spans="1:5">
      <c r="A2268" s="295"/>
      <c r="D2268" s="288"/>
      <c r="E2268" s="562"/>
    </row>
    <row r="2269" spans="1:5">
      <c r="A2269" s="295"/>
      <c r="D2269" s="288"/>
      <c r="E2269" s="562"/>
    </row>
    <row r="2270" spans="1:5">
      <c r="A2270" s="295"/>
      <c r="D2270" s="288"/>
      <c r="E2270" s="562"/>
    </row>
    <row r="2271" spans="1:5">
      <c r="A2271" s="295"/>
      <c r="D2271" s="288"/>
      <c r="E2271" s="562"/>
    </row>
    <row r="2272" spans="1:5">
      <c r="A2272" s="295"/>
      <c r="D2272" s="288"/>
      <c r="E2272" s="562"/>
    </row>
    <row r="2273" spans="1:5">
      <c r="A2273" s="295"/>
      <c r="D2273" s="288"/>
      <c r="E2273" s="562"/>
    </row>
    <row r="2274" spans="1:5">
      <c r="A2274" s="295"/>
      <c r="D2274" s="288"/>
      <c r="E2274" s="562"/>
    </row>
    <row r="2275" spans="1:5">
      <c r="A2275" s="295"/>
      <c r="D2275" s="288"/>
      <c r="E2275" s="562"/>
    </row>
    <row r="2276" spans="1:5">
      <c r="A2276" s="295"/>
      <c r="D2276" s="288"/>
      <c r="E2276" s="562"/>
    </row>
    <row r="2277" spans="1:5">
      <c r="A2277" s="295"/>
      <c r="D2277" s="288"/>
      <c r="E2277" s="562"/>
    </row>
    <row r="2278" spans="1:5">
      <c r="A2278" s="295"/>
      <c r="D2278" s="288"/>
      <c r="E2278" s="562"/>
    </row>
    <row r="2279" spans="1:5">
      <c r="A2279" s="295"/>
      <c r="D2279" s="288"/>
      <c r="E2279" s="562"/>
    </row>
    <row r="2280" spans="1:5">
      <c r="A2280" s="295"/>
      <c r="D2280" s="288"/>
      <c r="E2280" s="562"/>
    </row>
    <row r="2281" spans="1:5">
      <c r="A2281" s="295"/>
      <c r="D2281" s="288"/>
      <c r="E2281" s="562"/>
    </row>
    <row r="2282" spans="1:5">
      <c r="A2282" s="295"/>
      <c r="D2282" s="288"/>
      <c r="E2282" s="562"/>
    </row>
    <row r="2283" spans="1:5">
      <c r="A2283" s="295"/>
      <c r="D2283" s="288"/>
      <c r="E2283" s="562"/>
    </row>
    <row r="2284" spans="1:5">
      <c r="A2284" s="295"/>
      <c r="D2284" s="288"/>
      <c r="E2284" s="562"/>
    </row>
    <row r="2285" spans="1:5">
      <c r="A2285" s="295"/>
      <c r="D2285" s="288"/>
      <c r="E2285" s="562"/>
    </row>
    <row r="2286" spans="1:5">
      <c r="A2286" s="295"/>
      <c r="D2286" s="288"/>
      <c r="E2286" s="562"/>
    </row>
    <row r="2287" spans="1:5">
      <c r="A2287" s="295"/>
      <c r="D2287" s="288"/>
      <c r="E2287" s="562"/>
    </row>
    <row r="2288" spans="1:5">
      <c r="A2288" s="295"/>
      <c r="D2288" s="288"/>
      <c r="E2288" s="562"/>
    </row>
    <row r="2289" spans="1:5">
      <c r="A2289" s="295"/>
      <c r="D2289" s="288"/>
      <c r="E2289" s="562"/>
    </row>
    <row r="2290" spans="1:5">
      <c r="A2290" s="295"/>
      <c r="D2290" s="288"/>
      <c r="E2290" s="562"/>
    </row>
    <row r="2291" spans="1:5">
      <c r="A2291" s="295"/>
      <c r="D2291" s="288"/>
      <c r="E2291" s="562"/>
    </row>
    <row r="2292" spans="1:5">
      <c r="A2292" s="295"/>
      <c r="D2292" s="288"/>
      <c r="E2292" s="562"/>
    </row>
    <row r="2293" spans="1:5">
      <c r="A2293" s="295"/>
      <c r="D2293" s="288"/>
      <c r="E2293" s="562"/>
    </row>
    <row r="2294" spans="1:5">
      <c r="A2294" s="295"/>
      <c r="D2294" s="288"/>
      <c r="E2294" s="562"/>
    </row>
    <row r="2295" spans="1:5">
      <c r="A2295" s="295"/>
      <c r="D2295" s="288"/>
      <c r="E2295" s="562"/>
    </row>
    <row r="2296" spans="1:5">
      <c r="A2296" s="295"/>
      <c r="D2296" s="288"/>
      <c r="E2296" s="562"/>
    </row>
    <row r="2297" spans="1:5">
      <c r="A2297" s="295"/>
      <c r="D2297" s="288"/>
      <c r="E2297" s="562"/>
    </row>
    <row r="2298" spans="1:5">
      <c r="A2298" s="295"/>
      <c r="D2298" s="288"/>
      <c r="E2298" s="562"/>
    </row>
    <row r="2299" spans="1:5">
      <c r="A2299" s="295"/>
      <c r="D2299" s="288"/>
      <c r="E2299" s="562"/>
    </row>
    <row r="2300" spans="1:5">
      <c r="A2300" s="295"/>
      <c r="D2300" s="288"/>
      <c r="E2300" s="562"/>
    </row>
    <row r="2301" spans="1:5">
      <c r="A2301" s="295"/>
      <c r="D2301" s="288"/>
      <c r="E2301" s="562"/>
    </row>
    <row r="2302" spans="1:5">
      <c r="A2302" s="295"/>
      <c r="D2302" s="288"/>
      <c r="E2302" s="562"/>
    </row>
    <row r="2303" spans="1:5">
      <c r="A2303" s="295"/>
      <c r="D2303" s="288"/>
      <c r="E2303" s="562"/>
    </row>
    <row r="2304" spans="1:5">
      <c r="A2304" s="295"/>
      <c r="D2304" s="288"/>
      <c r="E2304" s="562"/>
    </row>
    <row r="2305" spans="1:5">
      <c r="A2305" s="295"/>
      <c r="D2305" s="288"/>
      <c r="E2305" s="562"/>
    </row>
    <row r="2306" spans="1:5">
      <c r="A2306" s="295"/>
      <c r="D2306" s="288"/>
      <c r="E2306" s="562"/>
    </row>
    <row r="2307" spans="1:5">
      <c r="A2307" s="295"/>
      <c r="D2307" s="288"/>
      <c r="E2307" s="562"/>
    </row>
    <row r="2308" spans="1:5">
      <c r="A2308" s="295"/>
      <c r="D2308" s="288"/>
      <c r="E2308" s="562"/>
    </row>
    <row r="2309" spans="1:5">
      <c r="A2309" s="295"/>
      <c r="D2309" s="288"/>
      <c r="E2309" s="562"/>
    </row>
    <row r="2310" spans="1:5">
      <c r="A2310" s="295"/>
      <c r="D2310" s="288"/>
      <c r="E2310" s="562"/>
    </row>
    <row r="2311" spans="1:5">
      <c r="A2311" s="295"/>
      <c r="D2311" s="288"/>
      <c r="E2311" s="562"/>
    </row>
    <row r="2312" spans="1:5">
      <c r="A2312" s="295"/>
      <c r="D2312" s="288"/>
      <c r="E2312" s="562"/>
    </row>
    <row r="2313" spans="1:5">
      <c r="A2313" s="295"/>
      <c r="D2313" s="288"/>
      <c r="E2313" s="562"/>
    </row>
    <row r="2314" spans="1:5">
      <c r="A2314" s="295"/>
      <c r="D2314" s="288"/>
      <c r="E2314" s="562"/>
    </row>
    <row r="2315" spans="1:5">
      <c r="A2315" s="295"/>
      <c r="D2315" s="288"/>
      <c r="E2315" s="562"/>
    </row>
    <row r="2316" spans="1:5">
      <c r="A2316" s="295"/>
      <c r="D2316" s="288"/>
      <c r="E2316" s="562"/>
    </row>
    <row r="2317" spans="1:5">
      <c r="A2317" s="295"/>
      <c r="D2317" s="288"/>
      <c r="E2317" s="562"/>
    </row>
    <row r="2318" spans="1:5">
      <c r="A2318" s="295"/>
      <c r="D2318" s="288"/>
      <c r="E2318" s="562"/>
    </row>
    <row r="2319" spans="1:5">
      <c r="A2319" s="295"/>
      <c r="D2319" s="288"/>
      <c r="E2319" s="562"/>
    </row>
    <row r="2320" spans="1:5">
      <c r="A2320" s="295"/>
      <c r="D2320" s="288"/>
      <c r="E2320" s="562"/>
    </row>
    <row r="2321" spans="1:5">
      <c r="A2321" s="295"/>
      <c r="D2321" s="288"/>
      <c r="E2321" s="562"/>
    </row>
    <row r="2322" spans="1:5">
      <c r="A2322" s="295"/>
      <c r="D2322" s="288"/>
      <c r="E2322" s="562"/>
    </row>
    <row r="2323" spans="1:5">
      <c r="A2323" s="295"/>
      <c r="D2323" s="288"/>
      <c r="E2323" s="562"/>
    </row>
    <row r="2324" spans="1:5">
      <c r="A2324" s="295"/>
      <c r="D2324" s="288"/>
      <c r="E2324" s="562"/>
    </row>
    <row r="2325" spans="1:5">
      <c r="A2325" s="295"/>
      <c r="D2325" s="288"/>
      <c r="E2325" s="562"/>
    </row>
    <row r="2326" spans="1:5">
      <c r="A2326" s="295"/>
      <c r="D2326" s="288"/>
      <c r="E2326" s="562"/>
    </row>
    <row r="2327" spans="1:5">
      <c r="A2327" s="295"/>
      <c r="D2327" s="288"/>
      <c r="E2327" s="562"/>
    </row>
    <row r="2328" spans="1:5">
      <c r="A2328" s="295"/>
      <c r="D2328" s="288"/>
      <c r="E2328" s="562"/>
    </row>
    <row r="2329" spans="1:5">
      <c r="A2329" s="295"/>
      <c r="D2329" s="288"/>
      <c r="E2329" s="562"/>
    </row>
    <row r="2330" spans="1:5">
      <c r="A2330" s="295"/>
      <c r="D2330" s="288"/>
      <c r="E2330" s="562"/>
    </row>
    <row r="2331" spans="1:5">
      <c r="A2331" s="295"/>
      <c r="D2331" s="288"/>
      <c r="E2331" s="562"/>
    </row>
    <row r="2332" spans="1:5">
      <c r="A2332" s="295"/>
      <c r="D2332" s="288"/>
      <c r="E2332" s="562"/>
    </row>
    <row r="2333" spans="1:5">
      <c r="A2333" s="295"/>
      <c r="D2333" s="288"/>
      <c r="E2333" s="562"/>
    </row>
    <row r="2334" spans="1:5">
      <c r="A2334" s="295"/>
      <c r="D2334" s="288"/>
      <c r="E2334" s="562"/>
    </row>
    <row r="2335" spans="1:5">
      <c r="A2335" s="295"/>
      <c r="D2335" s="288"/>
      <c r="E2335" s="562"/>
    </row>
    <row r="2336" spans="1:5">
      <c r="A2336" s="295"/>
      <c r="D2336" s="288"/>
      <c r="E2336" s="562"/>
    </row>
    <row r="2337" spans="1:5">
      <c r="A2337" s="295"/>
      <c r="D2337" s="288"/>
      <c r="E2337" s="562"/>
    </row>
    <row r="2338" spans="1:5">
      <c r="A2338" s="295"/>
      <c r="D2338" s="288"/>
      <c r="E2338" s="562"/>
    </row>
    <row r="2339" spans="1:5">
      <c r="A2339" s="295"/>
      <c r="D2339" s="288"/>
      <c r="E2339" s="562"/>
    </row>
    <row r="2340" spans="1:5">
      <c r="A2340" s="295"/>
      <c r="D2340" s="288"/>
      <c r="E2340" s="562"/>
    </row>
    <row r="2341" spans="1:5">
      <c r="A2341" s="295"/>
      <c r="D2341" s="288"/>
      <c r="E2341" s="562"/>
    </row>
    <row r="2342" spans="1:5">
      <c r="A2342" s="295"/>
      <c r="D2342" s="288"/>
      <c r="E2342" s="562"/>
    </row>
    <row r="2343" spans="1:5">
      <c r="A2343" s="295"/>
      <c r="D2343" s="288"/>
      <c r="E2343" s="562"/>
    </row>
    <row r="2344" spans="1:5">
      <c r="A2344" s="295"/>
      <c r="D2344" s="288"/>
      <c r="E2344" s="562"/>
    </row>
    <row r="2345" spans="1:5">
      <c r="A2345" s="295"/>
      <c r="D2345" s="288"/>
      <c r="E2345" s="562"/>
    </row>
    <row r="2346" spans="1:5">
      <c r="A2346" s="295"/>
      <c r="D2346" s="288"/>
      <c r="E2346" s="562"/>
    </row>
    <row r="2347" spans="1:5">
      <c r="A2347" s="295"/>
      <c r="D2347" s="288"/>
      <c r="E2347" s="562"/>
    </row>
    <row r="2348" spans="1:5">
      <c r="A2348" s="295"/>
      <c r="D2348" s="288"/>
      <c r="E2348" s="562"/>
    </row>
    <row r="2349" spans="1:5">
      <c r="A2349" s="295"/>
      <c r="D2349" s="288"/>
      <c r="E2349" s="562"/>
    </row>
    <row r="2350" spans="1:5">
      <c r="A2350" s="295"/>
      <c r="D2350" s="288"/>
      <c r="E2350" s="562"/>
    </row>
    <row r="2351" spans="1:5">
      <c r="A2351" s="295"/>
      <c r="D2351" s="288"/>
      <c r="E2351" s="562"/>
    </row>
    <row r="2352" spans="1:5">
      <c r="A2352" s="295"/>
      <c r="D2352" s="288"/>
      <c r="E2352" s="562"/>
    </row>
    <row r="2353" spans="1:5">
      <c r="A2353" s="295"/>
      <c r="D2353" s="288"/>
      <c r="E2353" s="562"/>
    </row>
    <row r="2354" spans="1:5">
      <c r="A2354" s="295"/>
      <c r="D2354" s="288"/>
      <c r="E2354" s="562"/>
    </row>
    <row r="2355" spans="1:5">
      <c r="A2355" s="295"/>
      <c r="D2355" s="288"/>
      <c r="E2355" s="562"/>
    </row>
    <row r="2356" spans="1:5">
      <c r="A2356" s="295"/>
      <c r="D2356" s="288"/>
      <c r="E2356" s="562"/>
    </row>
    <row r="2357" spans="1:5">
      <c r="A2357" s="295"/>
      <c r="D2357" s="288"/>
      <c r="E2357" s="562"/>
    </row>
    <row r="2358" spans="1:5">
      <c r="A2358" s="295"/>
      <c r="D2358" s="288"/>
      <c r="E2358" s="562"/>
    </row>
    <row r="2359" spans="1:5">
      <c r="A2359" s="295"/>
      <c r="D2359" s="288"/>
      <c r="E2359" s="562"/>
    </row>
    <row r="2360" spans="1:5">
      <c r="A2360" s="295"/>
      <c r="D2360" s="288"/>
      <c r="E2360" s="562"/>
    </row>
    <row r="2361" spans="1:5">
      <c r="A2361" s="295"/>
      <c r="D2361" s="288"/>
      <c r="E2361" s="562"/>
    </row>
    <row r="2362" spans="1:5">
      <c r="A2362" s="295"/>
      <c r="D2362" s="288"/>
      <c r="E2362" s="562"/>
    </row>
    <row r="2363" spans="1:5">
      <c r="A2363" s="295"/>
      <c r="D2363" s="288"/>
      <c r="E2363" s="562"/>
    </row>
    <row r="2364" spans="1:5">
      <c r="A2364" s="295"/>
      <c r="D2364" s="288"/>
      <c r="E2364" s="562"/>
    </row>
    <row r="2365" spans="1:5">
      <c r="A2365" s="295"/>
      <c r="D2365" s="288"/>
      <c r="E2365" s="562"/>
    </row>
    <row r="2366" spans="1:5">
      <c r="A2366" s="295"/>
      <c r="D2366" s="288"/>
      <c r="E2366" s="562"/>
    </row>
    <row r="2367" spans="1:5">
      <c r="A2367" s="295"/>
      <c r="D2367" s="288"/>
      <c r="E2367" s="562"/>
    </row>
    <row r="2368" spans="1:5">
      <c r="A2368" s="295"/>
      <c r="D2368" s="288"/>
      <c r="E2368" s="562"/>
    </row>
    <row r="2369" spans="1:5">
      <c r="A2369" s="295"/>
      <c r="D2369" s="288"/>
      <c r="E2369" s="562"/>
    </row>
    <row r="2370" spans="1:5">
      <c r="A2370" s="295"/>
      <c r="D2370" s="288"/>
      <c r="E2370" s="562"/>
    </row>
    <row r="2371" spans="1:5">
      <c r="A2371" s="295"/>
      <c r="D2371" s="288"/>
      <c r="E2371" s="562"/>
    </row>
    <row r="2372" spans="1:5">
      <c r="A2372" s="295"/>
      <c r="D2372" s="288"/>
      <c r="E2372" s="562"/>
    </row>
    <row r="2373" spans="1:5">
      <c r="A2373" s="295"/>
      <c r="D2373" s="288"/>
      <c r="E2373" s="562"/>
    </row>
    <row r="2374" spans="1:5">
      <c r="A2374" s="295"/>
      <c r="D2374" s="288"/>
      <c r="E2374" s="562"/>
    </row>
    <row r="2375" spans="1:5">
      <c r="A2375" s="295"/>
      <c r="D2375" s="288"/>
      <c r="E2375" s="562"/>
    </row>
    <row r="2376" spans="1:5">
      <c r="A2376" s="295"/>
      <c r="D2376" s="288"/>
      <c r="E2376" s="562"/>
    </row>
    <row r="2377" spans="1:5">
      <c r="A2377" s="295"/>
      <c r="D2377" s="288"/>
      <c r="E2377" s="562"/>
    </row>
    <row r="2378" spans="1:5">
      <c r="A2378" s="295"/>
      <c r="D2378" s="288"/>
      <c r="E2378" s="562"/>
    </row>
    <row r="2379" spans="1:5">
      <c r="A2379" s="295"/>
      <c r="D2379" s="288"/>
      <c r="E2379" s="562"/>
    </row>
    <row r="2380" spans="1:5">
      <c r="A2380" s="295"/>
      <c r="D2380" s="288"/>
      <c r="E2380" s="562"/>
    </row>
    <row r="2381" spans="1:5">
      <c r="A2381" s="295"/>
      <c r="D2381" s="288"/>
      <c r="E2381" s="562"/>
    </row>
    <row r="2382" spans="1:5">
      <c r="A2382" s="295"/>
      <c r="D2382" s="288"/>
      <c r="E2382" s="562"/>
    </row>
    <row r="2383" spans="1:5">
      <c r="A2383" s="295"/>
      <c r="D2383" s="288"/>
      <c r="E2383" s="562"/>
    </row>
    <row r="2384" spans="1:5">
      <c r="A2384" s="295"/>
      <c r="D2384" s="288"/>
      <c r="E2384" s="562"/>
    </row>
    <row r="2385" spans="1:5">
      <c r="A2385" s="295"/>
      <c r="D2385" s="288"/>
      <c r="E2385" s="562"/>
    </row>
    <row r="2386" spans="1:5">
      <c r="A2386" s="295"/>
      <c r="D2386" s="288"/>
      <c r="E2386" s="562"/>
    </row>
    <row r="2387" spans="1:5">
      <c r="A2387" s="295"/>
      <c r="D2387" s="288"/>
      <c r="E2387" s="562"/>
    </row>
    <row r="2388" spans="1:5">
      <c r="A2388" s="295"/>
      <c r="D2388" s="288"/>
      <c r="E2388" s="562"/>
    </row>
    <row r="2389" spans="1:5">
      <c r="A2389" s="295"/>
      <c r="D2389" s="288"/>
      <c r="E2389" s="562"/>
    </row>
    <row r="2390" spans="1:5">
      <c r="A2390" s="295"/>
      <c r="D2390" s="288"/>
      <c r="E2390" s="562"/>
    </row>
    <row r="2391" spans="1:5">
      <c r="A2391" s="295"/>
      <c r="D2391" s="288"/>
      <c r="E2391" s="562"/>
    </row>
    <row r="2392" spans="1:5">
      <c r="A2392" s="295"/>
      <c r="D2392" s="288"/>
      <c r="E2392" s="562"/>
    </row>
    <row r="2393" spans="1:5">
      <c r="A2393" s="295"/>
      <c r="D2393" s="288"/>
      <c r="E2393" s="562"/>
    </row>
    <row r="2394" spans="1:5">
      <c r="A2394" s="295"/>
      <c r="D2394" s="288"/>
      <c r="E2394" s="562"/>
    </row>
    <row r="2395" spans="1:5">
      <c r="A2395" s="295"/>
      <c r="D2395" s="288"/>
      <c r="E2395" s="562"/>
    </row>
    <row r="2396" spans="1:5">
      <c r="A2396" s="295"/>
      <c r="D2396" s="288"/>
      <c r="E2396" s="562"/>
    </row>
    <row r="2397" spans="1:5">
      <c r="A2397" s="295"/>
      <c r="D2397" s="288"/>
      <c r="E2397" s="562"/>
    </row>
    <row r="2398" spans="1:5">
      <c r="A2398" s="295"/>
      <c r="D2398" s="288"/>
      <c r="E2398" s="562"/>
    </row>
    <row r="2399" spans="1:5">
      <c r="A2399" s="295"/>
      <c r="D2399" s="288"/>
      <c r="E2399" s="562"/>
    </row>
    <row r="2400" spans="1:5">
      <c r="A2400" s="295"/>
      <c r="D2400" s="288"/>
      <c r="E2400" s="562"/>
    </row>
    <row r="2401" spans="1:5">
      <c r="A2401" s="295"/>
      <c r="D2401" s="288"/>
      <c r="E2401" s="562"/>
    </row>
    <row r="2402" spans="1:5">
      <c r="A2402" s="295"/>
      <c r="D2402" s="288"/>
      <c r="E2402" s="562"/>
    </row>
    <row r="2403" spans="1:5">
      <c r="A2403" s="295"/>
      <c r="D2403" s="288"/>
      <c r="E2403" s="562"/>
    </row>
    <row r="2404" spans="1:5">
      <c r="A2404" s="295"/>
      <c r="D2404" s="288"/>
      <c r="E2404" s="562"/>
    </row>
    <row r="2405" spans="1:5">
      <c r="A2405" s="295"/>
      <c r="D2405" s="288"/>
      <c r="E2405" s="562"/>
    </row>
    <row r="2406" spans="1:5">
      <c r="A2406" s="295"/>
      <c r="D2406" s="288"/>
      <c r="E2406" s="562"/>
    </row>
    <row r="2407" spans="1:5">
      <c r="A2407" s="295"/>
      <c r="D2407" s="288"/>
      <c r="E2407" s="562"/>
    </row>
    <row r="2408" spans="1:5">
      <c r="A2408" s="295"/>
      <c r="D2408" s="288"/>
      <c r="E2408" s="562"/>
    </row>
    <row r="2409" spans="1:5">
      <c r="A2409" s="295"/>
      <c r="D2409" s="288"/>
      <c r="E2409" s="562"/>
    </row>
    <row r="2410" spans="1:5">
      <c r="A2410" s="295"/>
      <c r="D2410" s="288"/>
      <c r="E2410" s="562"/>
    </row>
    <row r="2411" spans="1:5">
      <c r="A2411" s="295"/>
      <c r="D2411" s="288"/>
      <c r="E2411" s="562"/>
    </row>
    <row r="2412" spans="1:5">
      <c r="A2412" s="295"/>
      <c r="D2412" s="288"/>
      <c r="E2412" s="562"/>
    </row>
    <row r="2413" spans="1:5">
      <c r="A2413" s="295"/>
      <c r="D2413" s="288"/>
      <c r="E2413" s="562"/>
    </row>
    <row r="2414" spans="1:5">
      <c r="A2414" s="295"/>
      <c r="D2414" s="288"/>
      <c r="E2414" s="562"/>
    </row>
    <row r="2415" spans="1:5">
      <c r="A2415" s="295"/>
      <c r="D2415" s="288"/>
      <c r="E2415" s="562"/>
    </row>
    <row r="2416" spans="1:5">
      <c r="A2416" s="295"/>
      <c r="D2416" s="288"/>
      <c r="E2416" s="562"/>
    </row>
    <row r="2417" spans="1:5">
      <c r="A2417" s="295"/>
      <c r="D2417" s="288"/>
      <c r="E2417" s="562"/>
    </row>
    <row r="2418" spans="1:5">
      <c r="A2418" s="295"/>
      <c r="D2418" s="288"/>
      <c r="E2418" s="562"/>
    </row>
    <row r="2419" spans="1:5">
      <c r="A2419" s="295"/>
      <c r="D2419" s="288"/>
      <c r="E2419" s="562"/>
    </row>
    <row r="2420" spans="1:5">
      <c r="A2420" s="295"/>
      <c r="D2420" s="288"/>
      <c r="E2420" s="562"/>
    </row>
    <row r="2421" spans="1:5">
      <c r="A2421" s="295"/>
      <c r="D2421" s="288"/>
      <c r="E2421" s="562"/>
    </row>
    <row r="2422" spans="1:5">
      <c r="A2422" s="295"/>
      <c r="D2422" s="288"/>
      <c r="E2422" s="562"/>
    </row>
    <row r="2423" spans="1:5">
      <c r="A2423" s="295"/>
      <c r="D2423" s="288"/>
      <c r="E2423" s="562"/>
    </row>
    <row r="2424" spans="1:5">
      <c r="A2424" s="295"/>
      <c r="D2424" s="288"/>
      <c r="E2424" s="562"/>
    </row>
    <row r="2425" spans="1:5">
      <c r="A2425" s="295"/>
      <c r="D2425" s="288"/>
      <c r="E2425" s="562"/>
    </row>
    <row r="2426" spans="1:5">
      <c r="A2426" s="295"/>
      <c r="D2426" s="288"/>
      <c r="E2426" s="562"/>
    </row>
    <row r="2427" spans="1:5">
      <c r="A2427" s="295"/>
      <c r="D2427" s="288"/>
      <c r="E2427" s="562"/>
    </row>
    <row r="2428" spans="1:5">
      <c r="A2428" s="295"/>
      <c r="D2428" s="288"/>
      <c r="E2428" s="562"/>
    </row>
    <row r="2429" spans="1:5">
      <c r="A2429" s="295"/>
      <c r="D2429" s="288"/>
      <c r="E2429" s="562"/>
    </row>
    <row r="2430" spans="1:5">
      <c r="A2430" s="295"/>
      <c r="D2430" s="288"/>
      <c r="E2430" s="562"/>
    </row>
    <row r="2431" spans="1:5">
      <c r="A2431" s="295"/>
      <c r="D2431" s="288"/>
      <c r="E2431" s="562"/>
    </row>
    <row r="2432" spans="1:5">
      <c r="A2432" s="295"/>
      <c r="D2432" s="288"/>
      <c r="E2432" s="562"/>
    </row>
    <row r="2433" spans="1:5">
      <c r="A2433" s="295"/>
      <c r="D2433" s="288"/>
      <c r="E2433" s="562"/>
    </row>
    <row r="2434" spans="1:5">
      <c r="A2434" s="295"/>
      <c r="D2434" s="288"/>
      <c r="E2434" s="562"/>
    </row>
    <row r="2435" spans="1:5">
      <c r="A2435" s="295"/>
      <c r="D2435" s="288"/>
      <c r="E2435" s="562"/>
    </row>
    <row r="2436" spans="1:5">
      <c r="A2436" s="295"/>
      <c r="D2436" s="288"/>
      <c r="E2436" s="562"/>
    </row>
    <row r="2437" spans="1:5">
      <c r="A2437" s="295"/>
      <c r="D2437" s="288"/>
      <c r="E2437" s="562"/>
    </row>
    <row r="2438" spans="1:5">
      <c r="A2438" s="295"/>
      <c r="D2438" s="288"/>
      <c r="E2438" s="562"/>
    </row>
    <row r="2439" spans="1:5">
      <c r="A2439" s="295"/>
      <c r="D2439" s="288"/>
      <c r="E2439" s="562"/>
    </row>
    <row r="2440" spans="1:5">
      <c r="A2440" s="295"/>
      <c r="D2440" s="288"/>
      <c r="E2440" s="562"/>
    </row>
    <row r="2441" spans="1:5">
      <c r="A2441" s="295"/>
      <c r="D2441" s="288"/>
      <c r="E2441" s="562"/>
    </row>
    <row r="2442" spans="1:5">
      <c r="A2442" s="295"/>
      <c r="D2442" s="288"/>
      <c r="E2442" s="562"/>
    </row>
    <row r="2443" spans="1:5">
      <c r="A2443" s="295"/>
      <c r="D2443" s="288"/>
      <c r="E2443" s="562"/>
    </row>
    <row r="2444" spans="1:5">
      <c r="A2444" s="295"/>
      <c r="D2444" s="288"/>
      <c r="E2444" s="562"/>
    </row>
    <row r="2445" spans="1:5">
      <c r="A2445" s="295"/>
      <c r="D2445" s="288"/>
      <c r="E2445" s="562"/>
    </row>
    <row r="2446" spans="1:5">
      <c r="A2446" s="295"/>
      <c r="D2446" s="288"/>
      <c r="E2446" s="562"/>
    </row>
    <row r="2447" spans="1:5">
      <c r="A2447" s="295"/>
      <c r="D2447" s="288"/>
      <c r="E2447" s="562"/>
    </row>
    <row r="2448" spans="1:5">
      <c r="A2448" s="295"/>
      <c r="D2448" s="288"/>
      <c r="E2448" s="562"/>
    </row>
    <row r="2449" spans="1:5">
      <c r="A2449" s="295"/>
      <c r="D2449" s="288"/>
      <c r="E2449" s="562"/>
    </row>
    <row r="2450" spans="1:5">
      <c r="A2450" s="295"/>
      <c r="D2450" s="288"/>
      <c r="E2450" s="562"/>
    </row>
    <row r="2451" spans="1:5">
      <c r="A2451" s="295"/>
      <c r="D2451" s="288"/>
      <c r="E2451" s="562"/>
    </row>
    <row r="2452" spans="1:5">
      <c r="A2452" s="295"/>
      <c r="D2452" s="288"/>
      <c r="E2452" s="562"/>
    </row>
    <row r="2453" spans="1:5">
      <c r="A2453" s="295"/>
      <c r="D2453" s="288"/>
      <c r="E2453" s="562"/>
    </row>
    <row r="2454" spans="1:5">
      <c r="A2454" s="295"/>
      <c r="D2454" s="288"/>
      <c r="E2454" s="562"/>
    </row>
    <row r="2455" spans="1:5">
      <c r="A2455" s="295"/>
      <c r="D2455" s="288"/>
      <c r="E2455" s="562"/>
    </row>
    <row r="2456" spans="1:5">
      <c r="A2456" s="295"/>
      <c r="D2456" s="288"/>
      <c r="E2456" s="562"/>
    </row>
    <row r="2457" spans="1:5">
      <c r="A2457" s="295"/>
      <c r="D2457" s="288"/>
      <c r="E2457" s="562"/>
    </row>
    <row r="2458" spans="1:5">
      <c r="A2458" s="295"/>
      <c r="D2458" s="288"/>
      <c r="E2458" s="562"/>
    </row>
    <row r="2459" spans="1:5">
      <c r="A2459" s="295"/>
      <c r="D2459" s="288"/>
      <c r="E2459" s="562"/>
    </row>
    <row r="2460" spans="1:5">
      <c r="A2460" s="295"/>
      <c r="D2460" s="288"/>
      <c r="E2460" s="562"/>
    </row>
    <row r="2461" spans="1:5">
      <c r="A2461" s="295"/>
      <c r="D2461" s="288"/>
      <c r="E2461" s="562"/>
    </row>
    <row r="2462" spans="1:5">
      <c r="A2462" s="295"/>
      <c r="D2462" s="288"/>
      <c r="E2462" s="562"/>
    </row>
    <row r="2463" spans="1:5">
      <c r="A2463" s="295"/>
      <c r="D2463" s="288"/>
      <c r="E2463" s="562"/>
    </row>
    <row r="2464" spans="1:5">
      <c r="A2464" s="295"/>
      <c r="D2464" s="288"/>
      <c r="E2464" s="562"/>
    </row>
    <row r="2465" spans="1:5">
      <c r="A2465" s="295"/>
      <c r="D2465" s="288"/>
      <c r="E2465" s="562"/>
    </row>
    <row r="2466" spans="1:5">
      <c r="A2466" s="295"/>
      <c r="D2466" s="288"/>
      <c r="E2466" s="562"/>
    </row>
    <row r="2467" spans="1:5">
      <c r="A2467" s="295"/>
      <c r="D2467" s="288"/>
      <c r="E2467" s="562"/>
    </row>
    <row r="2468" spans="1:5">
      <c r="A2468" s="295"/>
      <c r="D2468" s="288"/>
      <c r="E2468" s="562"/>
    </row>
    <row r="2469" spans="1:5">
      <c r="A2469" s="295"/>
      <c r="D2469" s="288"/>
      <c r="E2469" s="562"/>
    </row>
    <row r="2470" spans="1:5">
      <c r="A2470" s="295"/>
      <c r="D2470" s="288"/>
      <c r="E2470" s="562"/>
    </row>
    <row r="2471" spans="1:5">
      <c r="A2471" s="295"/>
      <c r="D2471" s="288"/>
      <c r="E2471" s="562"/>
    </row>
    <row r="2472" spans="1:5">
      <c r="A2472" s="295"/>
      <c r="D2472" s="288"/>
      <c r="E2472" s="562"/>
    </row>
    <row r="2473" spans="1:5">
      <c r="A2473" s="295"/>
      <c r="D2473" s="288"/>
      <c r="E2473" s="562"/>
    </row>
    <row r="2474" spans="1:5">
      <c r="A2474" s="295"/>
      <c r="D2474" s="288"/>
      <c r="E2474" s="562"/>
    </row>
    <row r="2475" spans="1:5">
      <c r="A2475" s="295"/>
      <c r="D2475" s="288"/>
      <c r="E2475" s="562"/>
    </row>
    <row r="2476" spans="1:5">
      <c r="A2476" s="295"/>
      <c r="D2476" s="288"/>
      <c r="E2476" s="562"/>
    </row>
    <row r="2477" spans="1:5">
      <c r="A2477" s="295"/>
      <c r="D2477" s="288"/>
      <c r="E2477" s="562"/>
    </row>
    <row r="2478" spans="1:5">
      <c r="A2478" s="295"/>
      <c r="D2478" s="288"/>
      <c r="E2478" s="562"/>
    </row>
    <row r="2479" spans="1:5">
      <c r="A2479" s="295"/>
      <c r="D2479" s="288"/>
      <c r="E2479" s="562"/>
    </row>
    <row r="2480" spans="1:5">
      <c r="A2480" s="295"/>
      <c r="D2480" s="288"/>
      <c r="E2480" s="562"/>
    </row>
    <row r="2481" spans="1:5">
      <c r="A2481" s="295"/>
      <c r="D2481" s="288"/>
      <c r="E2481" s="562"/>
    </row>
    <row r="2482" spans="1:5">
      <c r="A2482" s="295"/>
      <c r="D2482" s="288"/>
      <c r="E2482" s="562"/>
    </row>
    <row r="2483" spans="1:5">
      <c r="A2483" s="295"/>
      <c r="D2483" s="288"/>
      <c r="E2483" s="562"/>
    </row>
    <row r="2484" spans="1:5">
      <c r="A2484" s="295"/>
      <c r="D2484" s="288"/>
      <c r="E2484" s="562"/>
    </row>
    <row r="2485" spans="1:5">
      <c r="A2485" s="295"/>
      <c r="D2485" s="288"/>
      <c r="E2485" s="562"/>
    </row>
    <row r="2486" spans="1:5">
      <c r="A2486" s="295"/>
      <c r="D2486" s="288"/>
      <c r="E2486" s="562"/>
    </row>
    <row r="2487" spans="1:5">
      <c r="A2487" s="295"/>
      <c r="D2487" s="288"/>
      <c r="E2487" s="562"/>
    </row>
    <row r="2488" spans="1:5">
      <c r="A2488" s="295"/>
      <c r="D2488" s="288"/>
      <c r="E2488" s="562"/>
    </row>
    <row r="2489" spans="1:5">
      <c r="A2489" s="295"/>
      <c r="D2489" s="288"/>
      <c r="E2489" s="562"/>
    </row>
    <row r="2490" spans="1:5">
      <c r="A2490" s="295"/>
      <c r="D2490" s="288"/>
      <c r="E2490" s="562"/>
    </row>
    <row r="2491" spans="1:5">
      <c r="A2491" s="295"/>
      <c r="D2491" s="288"/>
      <c r="E2491" s="562"/>
    </row>
    <row r="2492" spans="1:5">
      <c r="A2492" s="295"/>
      <c r="D2492" s="288"/>
      <c r="E2492" s="562"/>
    </row>
    <row r="2493" spans="1:5">
      <c r="A2493" s="295"/>
      <c r="D2493" s="288"/>
      <c r="E2493" s="562"/>
    </row>
    <row r="2494" spans="1:5">
      <c r="A2494" s="295"/>
      <c r="D2494" s="288"/>
      <c r="E2494" s="562"/>
    </row>
    <row r="2495" spans="1:5">
      <c r="A2495" s="295"/>
      <c r="D2495" s="288"/>
      <c r="E2495" s="562"/>
    </row>
    <row r="2496" spans="1:5">
      <c r="A2496" s="295"/>
      <c r="D2496" s="288"/>
      <c r="E2496" s="562"/>
    </row>
    <row r="2497" spans="1:5">
      <c r="A2497" s="295"/>
      <c r="D2497" s="288"/>
      <c r="E2497" s="562"/>
    </row>
    <row r="2498" spans="1:5">
      <c r="A2498" s="295"/>
      <c r="D2498" s="288"/>
      <c r="E2498" s="562"/>
    </row>
    <row r="2499" spans="1:5">
      <c r="A2499" s="295"/>
      <c r="D2499" s="288"/>
      <c r="E2499" s="562"/>
    </row>
    <row r="2500" spans="1:5">
      <c r="A2500" s="295"/>
      <c r="D2500" s="288"/>
      <c r="E2500" s="562"/>
    </row>
    <row r="2501" spans="1:5">
      <c r="A2501" s="295"/>
      <c r="D2501" s="288"/>
      <c r="E2501" s="562"/>
    </row>
    <row r="2502" spans="1:5">
      <c r="A2502" s="295"/>
      <c r="D2502" s="288"/>
      <c r="E2502" s="562"/>
    </row>
    <row r="2503" spans="1:5">
      <c r="A2503" s="295"/>
      <c r="D2503" s="288"/>
      <c r="E2503" s="562"/>
    </row>
    <row r="2504" spans="1:5">
      <c r="A2504" s="295"/>
      <c r="D2504" s="288"/>
      <c r="E2504" s="562"/>
    </row>
    <row r="2505" spans="1:5">
      <c r="A2505" s="295"/>
      <c r="D2505" s="288"/>
      <c r="E2505" s="562"/>
    </row>
    <row r="2506" spans="1:5">
      <c r="A2506" s="295"/>
      <c r="D2506" s="288"/>
      <c r="E2506" s="562"/>
    </row>
    <row r="2507" spans="1:5">
      <c r="A2507" s="295"/>
      <c r="D2507" s="288"/>
      <c r="E2507" s="562"/>
    </row>
    <row r="2508" spans="1:5">
      <c r="A2508" s="295"/>
      <c r="D2508" s="288"/>
      <c r="E2508" s="562"/>
    </row>
    <row r="2509" spans="1:5">
      <c r="A2509" s="295"/>
      <c r="D2509" s="288"/>
      <c r="E2509" s="562"/>
    </row>
    <row r="2510" spans="1:5">
      <c r="A2510" s="295"/>
      <c r="D2510" s="288"/>
      <c r="E2510" s="562"/>
    </row>
    <row r="2511" spans="1:5">
      <c r="A2511" s="295"/>
      <c r="D2511" s="288"/>
      <c r="E2511" s="562"/>
    </row>
    <row r="2512" spans="1:5">
      <c r="A2512" s="295"/>
      <c r="D2512" s="288"/>
      <c r="E2512" s="562"/>
    </row>
    <row r="2513" spans="1:5">
      <c r="A2513" s="295"/>
      <c r="D2513" s="288"/>
      <c r="E2513" s="562"/>
    </row>
    <row r="2514" spans="1:5">
      <c r="A2514" s="295"/>
      <c r="D2514" s="288"/>
      <c r="E2514" s="562"/>
    </row>
    <row r="2515" spans="1:5">
      <c r="A2515" s="295"/>
      <c r="D2515" s="288"/>
      <c r="E2515" s="562"/>
    </row>
    <row r="2516" spans="1:5">
      <c r="A2516" s="295"/>
      <c r="D2516" s="288"/>
      <c r="E2516" s="562"/>
    </row>
    <row r="2517" spans="1:5">
      <c r="A2517" s="295"/>
      <c r="D2517" s="288"/>
      <c r="E2517" s="562"/>
    </row>
    <row r="2518" spans="1:5">
      <c r="A2518" s="295"/>
      <c r="D2518" s="288"/>
      <c r="E2518" s="562"/>
    </row>
    <row r="2519" spans="1:5">
      <c r="A2519" s="295"/>
      <c r="D2519" s="288"/>
      <c r="E2519" s="562"/>
    </row>
    <row r="2520" spans="1:5">
      <c r="A2520" s="295"/>
      <c r="D2520" s="288"/>
      <c r="E2520" s="562"/>
    </row>
    <row r="2521" spans="1:5">
      <c r="A2521" s="295"/>
      <c r="D2521" s="288"/>
      <c r="E2521" s="562"/>
    </row>
    <row r="2522" spans="1:5">
      <c r="A2522" s="295"/>
      <c r="D2522" s="288"/>
      <c r="E2522" s="562"/>
    </row>
    <row r="2523" spans="1:5">
      <c r="A2523" s="295"/>
      <c r="D2523" s="288"/>
      <c r="E2523" s="562"/>
    </row>
    <row r="2524" spans="1:5">
      <c r="A2524" s="295"/>
      <c r="D2524" s="288"/>
      <c r="E2524" s="562"/>
    </row>
    <row r="2525" spans="1:5">
      <c r="A2525" s="295"/>
      <c r="D2525" s="288"/>
      <c r="E2525" s="562"/>
    </row>
    <row r="2526" spans="1:5">
      <c r="A2526" s="295"/>
      <c r="D2526" s="288"/>
      <c r="E2526" s="562"/>
    </row>
    <row r="2527" spans="1:5">
      <c r="A2527" s="295"/>
      <c r="D2527" s="288"/>
      <c r="E2527" s="562"/>
    </row>
    <row r="2528" spans="1:5">
      <c r="A2528" s="295"/>
      <c r="D2528" s="288"/>
      <c r="E2528" s="562"/>
    </row>
    <row r="2529" spans="1:5">
      <c r="A2529" s="295"/>
      <c r="D2529" s="288"/>
      <c r="E2529" s="562"/>
    </row>
    <row r="2530" spans="1:5">
      <c r="A2530" s="295"/>
      <c r="D2530" s="288"/>
      <c r="E2530" s="562"/>
    </row>
    <row r="2531" spans="1:5">
      <c r="A2531" s="295"/>
      <c r="D2531" s="288"/>
      <c r="E2531" s="562"/>
    </row>
    <row r="2532" spans="1:5">
      <c r="A2532" s="295"/>
      <c r="D2532" s="288"/>
      <c r="E2532" s="562"/>
    </row>
    <row r="2533" spans="1:5">
      <c r="A2533" s="295"/>
      <c r="D2533" s="288"/>
      <c r="E2533" s="562"/>
    </row>
    <row r="2534" spans="1:5">
      <c r="A2534" s="295"/>
      <c r="D2534" s="288"/>
      <c r="E2534" s="562"/>
    </row>
    <row r="2535" spans="1:5">
      <c r="A2535" s="295"/>
      <c r="D2535" s="288"/>
      <c r="E2535" s="562"/>
    </row>
    <row r="2536" spans="1:5">
      <c r="A2536" s="295"/>
      <c r="D2536" s="288"/>
      <c r="E2536" s="562"/>
    </row>
    <row r="2537" spans="1:5">
      <c r="A2537" s="295"/>
      <c r="D2537" s="288"/>
      <c r="E2537" s="562"/>
    </row>
    <row r="2538" spans="1:5">
      <c r="A2538" s="295"/>
      <c r="D2538" s="288"/>
      <c r="E2538" s="562"/>
    </row>
    <row r="2539" spans="1:5">
      <c r="A2539" s="295"/>
      <c r="D2539" s="288"/>
      <c r="E2539" s="562"/>
    </row>
    <row r="2540" spans="1:5">
      <c r="A2540" s="295"/>
      <c r="D2540" s="288"/>
      <c r="E2540" s="562"/>
    </row>
    <row r="2541" spans="1:5">
      <c r="A2541" s="295"/>
      <c r="D2541" s="288"/>
      <c r="E2541" s="562"/>
    </row>
    <row r="2542" spans="1:5">
      <c r="A2542" s="295"/>
      <c r="D2542" s="288"/>
      <c r="E2542" s="562"/>
    </row>
    <row r="2543" spans="1:5">
      <c r="A2543" s="295"/>
      <c r="D2543" s="288"/>
      <c r="E2543" s="562"/>
    </row>
    <row r="2544" spans="1:5">
      <c r="A2544" s="295"/>
      <c r="D2544" s="288"/>
      <c r="E2544" s="562"/>
    </row>
    <row r="2545" spans="1:5">
      <c r="A2545" s="295"/>
      <c r="D2545" s="288"/>
      <c r="E2545" s="562"/>
    </row>
    <row r="2546" spans="1:5">
      <c r="A2546" s="295"/>
      <c r="D2546" s="288"/>
      <c r="E2546" s="562"/>
    </row>
    <row r="2547" spans="1:5">
      <c r="A2547" s="295"/>
      <c r="D2547" s="288"/>
      <c r="E2547" s="562"/>
    </row>
    <row r="2548" spans="1:5">
      <c r="A2548" s="295"/>
      <c r="D2548" s="288"/>
      <c r="E2548" s="562"/>
    </row>
    <row r="2549" spans="1:5">
      <c r="A2549" s="295"/>
      <c r="D2549" s="288"/>
      <c r="E2549" s="562"/>
    </row>
    <row r="2550" spans="1:5">
      <c r="A2550" s="295"/>
      <c r="D2550" s="288"/>
      <c r="E2550" s="562"/>
    </row>
    <row r="2551" spans="1:5">
      <c r="A2551" s="295"/>
      <c r="D2551" s="288"/>
      <c r="E2551" s="562"/>
    </row>
    <row r="2552" spans="1:5">
      <c r="A2552" s="295"/>
      <c r="D2552" s="288"/>
      <c r="E2552" s="562"/>
    </row>
    <row r="2553" spans="1:5">
      <c r="A2553" s="295"/>
      <c r="D2553" s="288"/>
      <c r="E2553" s="562"/>
    </row>
    <row r="2554" spans="1:5">
      <c r="A2554" s="295"/>
      <c r="D2554" s="288"/>
      <c r="E2554" s="562"/>
    </row>
    <row r="2555" spans="1:5">
      <c r="A2555" s="295"/>
      <c r="D2555" s="288"/>
      <c r="E2555" s="562"/>
    </row>
    <row r="2556" spans="1:5">
      <c r="A2556" s="295"/>
      <c r="D2556" s="288"/>
      <c r="E2556" s="562"/>
    </row>
    <row r="2557" spans="1:5">
      <c r="A2557" s="295"/>
      <c r="D2557" s="288"/>
      <c r="E2557" s="562"/>
    </row>
    <row r="2558" spans="1:5">
      <c r="A2558" s="295"/>
      <c r="D2558" s="288"/>
      <c r="E2558" s="562"/>
    </row>
    <row r="2559" spans="1:5">
      <c r="A2559" s="295"/>
      <c r="D2559" s="288"/>
      <c r="E2559" s="562"/>
    </row>
    <row r="2560" spans="1:5">
      <c r="A2560" s="295"/>
      <c r="D2560" s="288"/>
      <c r="E2560" s="562"/>
    </row>
    <row r="2561" spans="1:5">
      <c r="A2561" s="295"/>
      <c r="D2561" s="288"/>
      <c r="E2561" s="562"/>
    </row>
    <row r="2562" spans="1:5">
      <c r="A2562" s="295"/>
      <c r="D2562" s="288"/>
      <c r="E2562" s="562"/>
    </row>
    <row r="2563" spans="1:5">
      <c r="A2563" s="295"/>
      <c r="D2563" s="288"/>
      <c r="E2563" s="562"/>
    </row>
    <row r="2564" spans="1:5">
      <c r="A2564" s="295"/>
      <c r="D2564" s="288"/>
      <c r="E2564" s="562"/>
    </row>
    <row r="2565" spans="1:5">
      <c r="A2565" s="295"/>
      <c r="D2565" s="288"/>
      <c r="E2565" s="562"/>
    </row>
    <row r="2566" spans="1:5">
      <c r="A2566" s="295"/>
      <c r="D2566" s="288"/>
      <c r="E2566" s="562"/>
    </row>
    <row r="2567" spans="1:5">
      <c r="A2567" s="295"/>
      <c r="D2567" s="288"/>
      <c r="E2567" s="562"/>
    </row>
    <row r="2568" spans="1:5">
      <c r="A2568" s="295"/>
      <c r="D2568" s="288"/>
      <c r="E2568" s="562"/>
    </row>
    <row r="2569" spans="1:5">
      <c r="A2569" s="295"/>
      <c r="D2569" s="288"/>
      <c r="E2569" s="562"/>
    </row>
    <row r="2570" spans="1:5">
      <c r="A2570" s="295"/>
      <c r="D2570" s="288"/>
      <c r="E2570" s="562"/>
    </row>
    <row r="2571" spans="1:5">
      <c r="A2571" s="295"/>
      <c r="D2571" s="288"/>
      <c r="E2571" s="562"/>
    </row>
    <row r="2572" spans="1:5">
      <c r="A2572" s="295"/>
      <c r="D2572" s="288"/>
      <c r="E2572" s="562"/>
    </row>
    <row r="2573" spans="1:5">
      <c r="A2573" s="295"/>
      <c r="D2573" s="288"/>
      <c r="E2573" s="562"/>
    </row>
    <row r="2574" spans="1:5">
      <c r="A2574" s="295"/>
      <c r="D2574" s="288"/>
      <c r="E2574" s="562"/>
    </row>
    <row r="2575" spans="1:5">
      <c r="A2575" s="295"/>
      <c r="D2575" s="288"/>
      <c r="E2575" s="562"/>
    </row>
    <row r="2576" spans="1:5">
      <c r="A2576" s="295"/>
      <c r="D2576" s="288"/>
      <c r="E2576" s="562"/>
    </row>
    <row r="2577" spans="1:5">
      <c r="A2577" s="295"/>
      <c r="D2577" s="288"/>
      <c r="E2577" s="562"/>
    </row>
    <row r="2578" spans="1:5">
      <c r="A2578" s="295"/>
      <c r="D2578" s="288"/>
      <c r="E2578" s="562"/>
    </row>
    <row r="2579" spans="1:5">
      <c r="A2579" s="295"/>
      <c r="D2579" s="288"/>
      <c r="E2579" s="562"/>
    </row>
    <row r="2580" spans="1:5">
      <c r="A2580" s="295"/>
      <c r="D2580" s="288"/>
      <c r="E2580" s="562"/>
    </row>
    <row r="2581" spans="1:5">
      <c r="A2581" s="295"/>
      <c r="D2581" s="288"/>
      <c r="E2581" s="562"/>
    </row>
    <row r="2582" spans="1:5">
      <c r="A2582" s="295"/>
      <c r="D2582" s="288"/>
      <c r="E2582" s="562"/>
    </row>
    <row r="2583" spans="1:5">
      <c r="A2583" s="295"/>
      <c r="D2583" s="288"/>
      <c r="E2583" s="562"/>
    </row>
    <row r="2584" spans="1:5">
      <c r="A2584" s="295"/>
      <c r="D2584" s="288"/>
      <c r="E2584" s="562"/>
    </row>
    <row r="2585" spans="1:5">
      <c r="A2585" s="295"/>
      <c r="D2585" s="288"/>
      <c r="E2585" s="562"/>
    </row>
    <row r="2586" spans="1:5">
      <c r="A2586" s="295"/>
      <c r="D2586" s="288"/>
      <c r="E2586" s="562"/>
    </row>
    <row r="2587" spans="1:5">
      <c r="A2587" s="295"/>
      <c r="D2587" s="288"/>
      <c r="E2587" s="562"/>
    </row>
    <row r="2588" spans="1:5">
      <c r="A2588" s="295"/>
      <c r="D2588" s="288"/>
      <c r="E2588" s="562"/>
    </row>
    <row r="2589" spans="1:5">
      <c r="A2589" s="295"/>
      <c r="D2589" s="288"/>
      <c r="E2589" s="562"/>
    </row>
    <row r="2590" spans="1:5">
      <c r="A2590" s="295"/>
      <c r="D2590" s="288"/>
      <c r="E2590" s="562"/>
    </row>
    <row r="2591" spans="1:5">
      <c r="A2591" s="295"/>
      <c r="D2591" s="288"/>
      <c r="E2591" s="562"/>
    </row>
    <row r="2592" spans="1:5">
      <c r="A2592" s="295"/>
      <c r="D2592" s="288"/>
      <c r="E2592" s="562"/>
    </row>
    <row r="2593" spans="1:5">
      <c r="A2593" s="295"/>
      <c r="D2593" s="288"/>
      <c r="E2593" s="562"/>
    </row>
    <row r="2594" spans="1:5">
      <c r="A2594" s="295"/>
      <c r="D2594" s="288"/>
      <c r="E2594" s="562"/>
    </row>
    <row r="2595" spans="1:5">
      <c r="A2595" s="295"/>
      <c r="D2595" s="288"/>
      <c r="E2595" s="562"/>
    </row>
  </sheetData>
  <sheetProtection algorithmName="SHA-256" hashValue="xUsF+T46xGH9DyuBrx97plFyBgR02hhkPwTxeqCssSI=" saltValue="TuNftXNlCjq+tmW39oEWGQ==" spinCount="100000" sheet="1" objects="1" scenarios="1"/>
  <phoneticPr fontId="46" type="noConversion"/>
  <dataValidations count="1">
    <dataValidation type="list" allowBlank="1" showInputMessage="1" showErrorMessage="1" sqref="A3" xr:uid="{00000000-0002-0000-0200-000000000000}">
      <formula1>"1,2,3,4,5"</formula1>
    </dataValidation>
  </dataValidations>
  <hyperlinks>
    <hyperlink ref="B20" r:id="rId1" xr:uid="{1A2B3D8E-A525-4D9C-9AC8-1E57087216C4}"/>
    <hyperlink ref="C20" r:id="rId2" xr:uid="{269B4F57-6D03-4DC2-A2A3-4E97F14718AF}"/>
    <hyperlink ref="D20" r:id="rId3" xr:uid="{35E59BD3-A665-4059-8B6D-27EDD6CE4BE2}"/>
    <hyperlink ref="E20" r:id="rId4" xr:uid="{89D3C3AD-C729-41B9-BEC1-C30C98ED630A}"/>
    <hyperlink ref="B31" r:id="rId5" xr:uid="{B7538C3F-DFC6-4D22-B08D-B7FE071091AB}"/>
    <hyperlink ref="C31" r:id="rId6" xr:uid="{D10FE7A9-C5E1-4D03-9B7B-CFBBA55ED44B}"/>
    <hyperlink ref="D31" r:id="rId7" xr:uid="{55F8F979-EB4F-4781-AE87-13C30FDE7213}"/>
    <hyperlink ref="E31" r:id="rId8" xr:uid="{965B6BDF-8F6C-4C94-A89E-E46750C4EAFB}"/>
  </hyperlinks>
  <pageMargins left="0.7" right="0.7" top="0.75" bottom="0.75" header="0.3" footer="0.3"/>
  <pageSetup paperSize="9" scale="10" orientation="landscape"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0070C0"/>
    <pageSetUpPr fitToPage="1"/>
  </sheetPr>
  <dimension ref="A1:K45"/>
  <sheetViews>
    <sheetView zoomScaleNormal="100" zoomScalePageLayoutView="80" workbookViewId="0">
      <selection activeCell="C5" sqref="C5"/>
    </sheetView>
  </sheetViews>
  <sheetFormatPr defaultColWidth="11" defaultRowHeight="15.6"/>
  <cols>
    <col min="1" max="1" width="4.69921875" style="6" customWidth="1"/>
    <col min="2" max="2" width="82.19921875" style="8" customWidth="1"/>
    <col min="3" max="3" width="5.19921875" style="30" customWidth="1"/>
    <col min="4" max="4" width="3.69921875" customWidth="1"/>
    <col min="5" max="5" width="3.69921875" hidden="1" customWidth="1"/>
    <col min="6" max="6" width="5.19921875" style="30" hidden="1" customWidth="1"/>
    <col min="7" max="7" width="5.19921875" customWidth="1"/>
    <col min="8" max="8" width="37.69921875" style="72" customWidth="1"/>
    <col min="9" max="9" width="9.69921875" customWidth="1"/>
  </cols>
  <sheetData>
    <row r="1" spans="1:9">
      <c r="A1" s="10"/>
      <c r="B1" s="43" t="str">
        <f>Language!A1631</f>
        <v>SAFETY</v>
      </c>
      <c r="C1" s="52" t="str">
        <f>IF(COUNT(G4:G96)=0,"???",AVERAGE(G4:G96))</f>
        <v>???</v>
      </c>
      <c r="F1" s="28"/>
      <c r="H1" s="317" t="str">
        <f>'Facility 1'!H1</f>
        <v>Comments</v>
      </c>
    </row>
    <row r="2" spans="1:9">
      <c r="A2" s="10"/>
      <c r="B2" s="210" t="str">
        <f>Language!A1632</f>
        <v xml:space="preserve">To be completed if there is no record of another safety audit in the past 12 months. This is not intended to be a comprehensive safety audit. </v>
      </c>
      <c r="C2" s="33"/>
      <c r="D2" s="28"/>
      <c r="E2" s="28"/>
      <c r="F2" s="28"/>
      <c r="H2" s="205"/>
    </row>
    <row r="3" spans="1:9">
      <c r="A3" s="166"/>
      <c r="B3" s="14" t="str">
        <f>Language!A1633</f>
        <v>BIOSAFETY EQUIPMENT</v>
      </c>
      <c r="C3" s="44" t="str">
        <f>IF(COUNTBLANK(C5:C16)=12,"???",IF(COUNT(G5:G16)=0,"NA",AVERAGE(G5:G16)))</f>
        <v>???</v>
      </c>
      <c r="F3" s="28"/>
      <c r="H3" s="200"/>
    </row>
    <row r="4" spans="1:9">
      <c r="A4" s="10"/>
      <c r="B4" s="8" t="str">
        <f>Language!A1634</f>
        <v>Is standard safety equipment available and in use in the laboratory?</v>
      </c>
      <c r="C4" s="31"/>
      <c r="D4" s="2"/>
      <c r="E4" s="2"/>
      <c r="F4" s="29"/>
      <c r="G4" s="3"/>
      <c r="H4" s="171"/>
    </row>
    <row r="5" spans="1:9">
      <c r="A5" s="10" t="s">
        <v>940</v>
      </c>
      <c r="B5" s="505" t="str">
        <f>Language!A1635</f>
        <v>Biosafety cabinets (Class IIA)</v>
      </c>
      <c r="C5" s="27"/>
      <c r="F5" s="29">
        <f t="shared" ref="F5:F13" si="0">C5</f>
        <v>0</v>
      </c>
      <c r="G5" s="18" t="str">
        <f>IF(F5="Yes",1,IF(F5="No",0,"'"))</f>
        <v>'</v>
      </c>
      <c r="H5" s="450"/>
      <c r="I5" s="18" t="str">
        <f t="shared" ref="I5:I13" si="1">IF(C5="No","Red Flag","'")</f>
        <v>'</v>
      </c>
    </row>
    <row r="6" spans="1:9">
      <c r="A6" s="10" t="s">
        <v>941</v>
      </c>
      <c r="B6" s="505" t="str">
        <f>Language!A1636</f>
        <v>Covers on each centrifuge bucket</v>
      </c>
      <c r="C6" s="27"/>
      <c r="F6" s="29">
        <f t="shared" si="0"/>
        <v>0</v>
      </c>
      <c r="G6" s="18" t="str">
        <f t="shared" ref="G6:G13" si="2">IF(F6="Yes",1,IF(F6="No",0,"'"))</f>
        <v>'</v>
      </c>
      <c r="H6" s="450"/>
      <c r="I6" s="18" t="str">
        <f t="shared" si="1"/>
        <v>'</v>
      </c>
    </row>
    <row r="7" spans="1:9">
      <c r="A7" s="10" t="s">
        <v>942</v>
      </c>
      <c r="B7" s="505" t="str">
        <f>Language!A1637</f>
        <v>Cover over centrifuge rotor</v>
      </c>
      <c r="C7" s="27"/>
      <c r="F7" s="29">
        <f t="shared" si="0"/>
        <v>0</v>
      </c>
      <c r="G7" s="18" t="str">
        <f t="shared" si="2"/>
        <v>'</v>
      </c>
      <c r="H7" s="450"/>
      <c r="I7" s="18" t="str">
        <f t="shared" si="1"/>
        <v>'</v>
      </c>
    </row>
    <row r="8" spans="1:9">
      <c r="A8" s="10" t="s">
        <v>943</v>
      </c>
      <c r="B8" s="505" t="str">
        <f>Language!A1638</f>
        <v>Hand-washing station</v>
      </c>
      <c r="C8" s="27"/>
      <c r="F8" s="29">
        <f t="shared" si="0"/>
        <v>0</v>
      </c>
      <c r="G8" s="18" t="str">
        <f t="shared" si="2"/>
        <v>'</v>
      </c>
      <c r="H8" s="450"/>
      <c r="I8" s="18" t="str">
        <f t="shared" si="1"/>
        <v>'</v>
      </c>
    </row>
    <row r="9" spans="1:9">
      <c r="A9" s="10" t="s">
        <v>944</v>
      </c>
      <c r="B9" s="505" t="str">
        <f>Language!A1639</f>
        <v>Eyewash station/bottle</v>
      </c>
      <c r="C9" s="27"/>
      <c r="F9" s="29">
        <f t="shared" si="0"/>
        <v>0</v>
      </c>
      <c r="G9" s="18" t="str">
        <f t="shared" si="2"/>
        <v>'</v>
      </c>
      <c r="H9" s="450"/>
      <c r="I9" s="18" t="str">
        <f t="shared" si="1"/>
        <v>'</v>
      </c>
    </row>
    <row r="10" spans="1:9">
      <c r="A10" s="10" t="s">
        <v>945</v>
      </c>
      <c r="B10" s="37" t="str">
        <f>Language!A1640</f>
        <v>Sharps containers</v>
      </c>
      <c r="C10" s="27"/>
      <c r="F10" s="29">
        <f t="shared" si="0"/>
        <v>0</v>
      </c>
      <c r="G10" s="18" t="str">
        <f t="shared" si="2"/>
        <v>'</v>
      </c>
      <c r="H10" s="450"/>
      <c r="I10" s="18" t="str">
        <f t="shared" si="1"/>
        <v>'</v>
      </c>
    </row>
    <row r="11" spans="1:9">
      <c r="A11" s="10" t="s">
        <v>946</v>
      </c>
      <c r="B11" s="506" t="str">
        <f>Language!A1641</f>
        <v>Flame cabinet (for securely storing flammable liquids, e.g. ethanol)</v>
      </c>
      <c r="C11" s="27"/>
      <c r="F11" s="29">
        <f t="shared" si="0"/>
        <v>0</v>
      </c>
      <c r="G11" s="18" t="str">
        <f t="shared" si="2"/>
        <v>'</v>
      </c>
      <c r="H11" s="450"/>
      <c r="I11" s="18" t="str">
        <f t="shared" si="1"/>
        <v>'</v>
      </c>
    </row>
    <row r="12" spans="1:9">
      <c r="A12" s="10" t="s">
        <v>947</v>
      </c>
      <c r="B12" s="506" t="str">
        <f>Language!A1642</f>
        <v>Spill kit</v>
      </c>
      <c r="C12" s="27"/>
      <c r="F12" s="29">
        <f t="shared" si="0"/>
        <v>0</v>
      </c>
      <c r="G12" s="18" t="str">
        <f t="shared" si="2"/>
        <v>'</v>
      </c>
      <c r="H12" s="450"/>
      <c r="I12" s="18" t="str">
        <f t="shared" si="1"/>
        <v>'</v>
      </c>
    </row>
    <row r="13" spans="1:9">
      <c r="A13" s="10" t="s">
        <v>948</v>
      </c>
      <c r="B13" s="506" t="str">
        <f>Language!A1643</f>
        <v>First aid kit</v>
      </c>
      <c r="C13" s="27"/>
      <c r="F13" s="29">
        <f t="shared" si="0"/>
        <v>0</v>
      </c>
      <c r="G13" s="18" t="str">
        <f t="shared" si="2"/>
        <v>'</v>
      </c>
      <c r="H13" s="450"/>
      <c r="I13" s="18" t="str">
        <f t="shared" si="1"/>
        <v>'</v>
      </c>
    </row>
    <row r="14" spans="1:9" ht="31.2" customHeight="1">
      <c r="A14" s="10"/>
      <c r="B14" s="640" t="str">
        <f>Language!A1644</f>
        <v xml:space="preserve">Standard: It is the responsibility of laboratory management to ensure the laboratory is equipped with standard safety equipment. The list above is a partial list of necessary items. Biosafety cabinets should be in place and in use and all centrifuges should have covers. Hand washing stations should be designated and equipped and eyewash stations (or an acceptable alternative method of eye cleansing) should be available and operable. Spill kits and first aid kits should be kept in a designated place and checked regularly for readiness. </v>
      </c>
      <c r="C14" s="641"/>
      <c r="D14" s="641"/>
      <c r="E14" s="641"/>
      <c r="F14" s="641"/>
      <c r="G14" s="641"/>
      <c r="H14" s="641"/>
    </row>
    <row r="15" spans="1:9" ht="24.45" customHeight="1">
      <c r="A15" s="10"/>
      <c r="B15" s="640" t="str">
        <f>Language!A1645</f>
        <v>Standard: ISO 15189: 5.2.10  All syringes, needles, lancets, or other bloodletting devices capable of transmitting infection must be used only once and discarded in puncture resistant containers that are not overfilled. Sharps containers should be clearly marked to warn handlers of the potential hazard and should be located in areas where sharps are commonly used.</v>
      </c>
      <c r="C15" s="641"/>
      <c r="D15" s="641"/>
      <c r="E15" s="641"/>
      <c r="F15" s="641"/>
      <c r="G15" s="641"/>
      <c r="H15" s="641"/>
    </row>
    <row r="16" spans="1:9">
      <c r="A16" s="10" t="s">
        <v>950</v>
      </c>
      <c r="B16" s="54" t="str">
        <f>Language!A1646</f>
        <v xml:space="preserve">Have all biosafety cabinets been recertified within a year of today’s date? </v>
      </c>
      <c r="C16" s="27"/>
      <c r="F16" s="29">
        <f>C16</f>
        <v>0</v>
      </c>
      <c r="G16" s="18" t="str">
        <f t="shared" ref="G16" si="3">IF(F16="Yes",1,IF(F16="No",0,"'"))</f>
        <v>'</v>
      </c>
      <c r="H16" s="450"/>
      <c r="I16" s="18" t="str">
        <f>IF(C16="No","Red Flag","'")</f>
        <v>'</v>
      </c>
    </row>
    <row r="17" spans="1:11" ht="22.2" customHeight="1">
      <c r="A17" s="10"/>
      <c r="B17" s="640" t="str">
        <f>Language!A1647</f>
        <v>Standard: A biosafety cabinet should be used for to prevent aerosol exposure to contagious specimens or organisms. For proper functioning and full protection, biosafety cabinets require periodic maintenance and should be serviced accordingly.</v>
      </c>
      <c r="C17" s="641"/>
      <c r="D17" s="641"/>
      <c r="E17" s="641"/>
      <c r="F17" s="641"/>
      <c r="G17" s="641"/>
      <c r="H17" s="641"/>
    </row>
    <row r="18" spans="1:11">
      <c r="A18" s="166"/>
      <c r="B18" s="14" t="str">
        <f>Language!A1648</f>
        <v>PERSONAL PROTECTIVE EQUIPMENT</v>
      </c>
      <c r="C18" s="44" t="str">
        <f>IF(COUNTBLANK(C19:C25)=7,"???",IF(COUNT(G19:G25)=0,"NA",AVERAGE(G19:G25)))</f>
        <v>???</v>
      </c>
      <c r="F18" s="28"/>
      <c r="H18" s="200"/>
    </row>
    <row r="19" spans="1:11">
      <c r="A19" s="10"/>
      <c r="B19" s="8" t="str">
        <f>Language!A1649</f>
        <v>Is all necessary personal protective equipment (PPE) available for BSL2?</v>
      </c>
      <c r="C19"/>
      <c r="F19"/>
      <c r="H19" s="171"/>
    </row>
    <row r="20" spans="1:11">
      <c r="A20" s="10" t="s">
        <v>949</v>
      </c>
      <c r="B20" s="37" t="str">
        <f>Language!A1650</f>
        <v>Gowns</v>
      </c>
      <c r="C20" s="27"/>
      <c r="F20" s="29">
        <f t="shared" ref="F20:F25" si="4">C20</f>
        <v>0</v>
      </c>
      <c r="G20" s="18" t="str">
        <f>IF(F20="Yes",1,IF(F20="No",0,"'"))</f>
        <v>'</v>
      </c>
      <c r="H20" s="454"/>
      <c r="I20" s="18" t="str">
        <f>IF(C20="No","Red Flag","'")</f>
        <v>'</v>
      </c>
    </row>
    <row r="21" spans="1:11">
      <c r="A21" s="10" t="s">
        <v>951</v>
      </c>
      <c r="B21" s="37" t="str">
        <f>Language!A1651</f>
        <v>Gloves</v>
      </c>
      <c r="C21" s="27"/>
      <c r="F21" s="29">
        <f t="shared" si="4"/>
        <v>0</v>
      </c>
      <c r="G21" s="18" t="str">
        <f t="shared" ref="G21:G24" si="5">IF(F21="Yes",1,IF(F21="No",0,"'"))</f>
        <v>'</v>
      </c>
      <c r="H21" s="454"/>
      <c r="I21" s="18" t="str">
        <f>IF(C21="No","Red Flag","'")</f>
        <v>'</v>
      </c>
    </row>
    <row r="22" spans="1:11">
      <c r="A22" s="10" t="s">
        <v>952</v>
      </c>
      <c r="B22" s="37" t="str">
        <f>Language!A1652</f>
        <v>Eye protection</v>
      </c>
      <c r="C22" s="27"/>
      <c r="F22" s="29">
        <f t="shared" si="4"/>
        <v>0</v>
      </c>
      <c r="G22" s="18" t="str">
        <f t="shared" si="5"/>
        <v>'</v>
      </c>
      <c r="H22" s="454"/>
      <c r="I22" s="18" t="str">
        <f>IF(C22="No","Red Flag","'")</f>
        <v>'</v>
      </c>
    </row>
    <row r="23" spans="1:11">
      <c r="A23" s="10" t="s">
        <v>953</v>
      </c>
      <c r="B23" s="37" t="str">
        <f>Language!A1653</f>
        <v>Aerosol face protection (respirator, face shield, or splatter guard)</v>
      </c>
      <c r="C23" s="27"/>
      <c r="F23" s="29">
        <f t="shared" si="4"/>
        <v>0</v>
      </c>
      <c r="G23" s="18" t="str">
        <f t="shared" si="5"/>
        <v>'</v>
      </c>
      <c r="H23" s="454"/>
      <c r="I23" s="18" t="str">
        <f>IF(C23="No","Red Flag","'")</f>
        <v>'</v>
      </c>
    </row>
    <row r="24" spans="1:11">
      <c r="A24" s="10" t="s">
        <v>954</v>
      </c>
      <c r="B24" s="8" t="str">
        <f>Language!A1654</f>
        <v>Does lab policy require microbiology staff to wear close-toed shoes?</v>
      </c>
      <c r="C24" s="27"/>
      <c r="F24" s="29">
        <f t="shared" si="4"/>
        <v>0</v>
      </c>
      <c r="G24" s="18" t="str">
        <f t="shared" si="5"/>
        <v>'</v>
      </c>
      <c r="H24" s="450"/>
      <c r="I24" s="18" t="str">
        <f>IF(C24="No","Red Flag","'")</f>
        <v>'</v>
      </c>
    </row>
    <row r="25" spans="1:11">
      <c r="A25" s="10" t="s">
        <v>955</v>
      </c>
      <c r="B25" s="8" t="str">
        <f>Language!A1655</f>
        <v>Is PPE utilized appropriately and consistently by laboratory staff? (Observe)</v>
      </c>
      <c r="C25" s="27"/>
      <c r="F25" s="29">
        <f t="shared" si="4"/>
        <v>0</v>
      </c>
      <c r="G25" s="18" t="str">
        <f>IF(F25=1,1,IF(F25=2,0,IF(F25=3,0,"'")))</f>
        <v>'</v>
      </c>
      <c r="H25" s="459"/>
      <c r="I25" s="18" t="str">
        <f>IF(F25=2,"Red Flag",IF(F25=3,"Red Flag",""))</f>
        <v/>
      </c>
    </row>
    <row r="26" spans="1:11">
      <c r="A26" s="10"/>
      <c r="B26" s="465" t="str">
        <f>Language!A1656</f>
        <v>1: Yes - 2: Partial - 3: No</v>
      </c>
      <c r="C26" s="42"/>
      <c r="F26" s="29"/>
      <c r="G26" s="18"/>
      <c r="H26" s="175"/>
    </row>
    <row r="27" spans="1:11" ht="33.6" customHeight="1">
      <c r="A27" s="10"/>
      <c r="B27" s="640" t="str">
        <f>Language!A1657</f>
        <v>Standard: Management is responsible to provide appropriate personal protective equipment— gloves, lab coats, eye protection, shields, etc. — in useable condition. Laboratory staff must utilize personal protective equipment in the laboratory at all times. Protective clothing should not be worn outside the laboratory. Gloves should be replaced immediately when torn or contaminated and not washed for reuse</v>
      </c>
      <c r="C27" s="641"/>
      <c r="D27" s="641"/>
      <c r="E27" s="641"/>
      <c r="F27" s="641"/>
      <c r="G27" s="641"/>
      <c r="H27" s="641"/>
    </row>
    <row r="28" spans="1:11">
      <c r="A28" s="16"/>
      <c r="B28" s="471"/>
      <c r="C28" s="99"/>
      <c r="D28" s="412"/>
      <c r="E28" s="155"/>
      <c r="F28" s="201"/>
      <c r="G28" s="155"/>
      <c r="H28" s="220"/>
      <c r="J28" s="155"/>
      <c r="K28" s="155"/>
    </row>
    <row r="29" spans="1:11">
      <c r="A29" s="166"/>
      <c r="B29" s="14" t="str">
        <f>Language!A1658</f>
        <v>BIOSAFETY BEHAVIORS</v>
      </c>
      <c r="C29" s="44" t="str">
        <f>IF(COUNTBLANK(C30:C37)=8,"???",IF(COUNT(G30:G37)=0,"NA",AVERAGE(G30:G37)))</f>
        <v>???</v>
      </c>
      <c r="F29" s="28"/>
      <c r="H29" s="200"/>
    </row>
    <row r="30" spans="1:11">
      <c r="A30" s="10" t="s">
        <v>956</v>
      </c>
      <c r="B30" s="54" t="str">
        <f>Language!A1659</f>
        <v>Does lab policy prohibit eating, drinking, and smoking in the laboratory?</v>
      </c>
      <c r="C30" s="46"/>
      <c r="F30" s="29">
        <f>C30</f>
        <v>0</v>
      </c>
      <c r="G30" s="18" t="str">
        <f>IF(F30="Yes",1,IF(F30="No",0,"'"))</f>
        <v>'</v>
      </c>
      <c r="H30" s="450"/>
      <c r="I30" s="18" t="str">
        <f>IF(C30="No","Red Flag","'")</f>
        <v>'</v>
      </c>
    </row>
    <row r="31" spans="1:11">
      <c r="A31" s="10"/>
      <c r="B31" s="8" t="str">
        <f>Language!A1660</f>
        <v>Observe the refrigerators and freezers where media and reagents are stored. Are they:</v>
      </c>
      <c r="C31" s="15"/>
      <c r="F31" s="22"/>
      <c r="H31" s="200"/>
    </row>
    <row r="32" spans="1:11">
      <c r="A32" s="10" t="s">
        <v>957</v>
      </c>
      <c r="B32" s="37" t="str">
        <f>Language!A1661</f>
        <v>Designated specifically for storage of media/reagents?</v>
      </c>
      <c r="C32" s="456"/>
      <c r="F32" s="23">
        <f t="shared" ref="F32:F37" si="6">C32</f>
        <v>0</v>
      </c>
      <c r="G32" s="18" t="str">
        <f>IF(F32="Yes",1,IF(F32="No",0,"'"))</f>
        <v>'</v>
      </c>
      <c r="H32" s="455"/>
      <c r="I32" s="18" t="str">
        <f t="shared" ref="I32:I37" si="7">IF(C32="No","Red Flag","'")</f>
        <v>'</v>
      </c>
    </row>
    <row r="33" spans="1:9">
      <c r="A33" s="10" t="s">
        <v>958</v>
      </c>
      <c r="B33" s="37" t="str">
        <f>Language!A1662</f>
        <v>Free of staff food items?</v>
      </c>
      <c r="C33" s="27"/>
      <c r="F33" s="23">
        <f t="shared" si="6"/>
        <v>0</v>
      </c>
      <c r="G33" s="18" t="str">
        <f t="shared" ref="G33:G35" si="8">IF(F33="Yes",1,IF(F33="No",0,"'"))</f>
        <v>'</v>
      </c>
      <c r="H33" s="455"/>
      <c r="I33" s="18" t="str">
        <f t="shared" si="7"/>
        <v>'</v>
      </c>
    </row>
    <row r="34" spans="1:9">
      <c r="A34" s="10" t="s">
        <v>959</v>
      </c>
      <c r="B34" s="37" t="str">
        <f>Language!A1663</f>
        <v>Free of patient samples?</v>
      </c>
      <c r="C34" s="456"/>
      <c r="F34" s="23">
        <f t="shared" si="6"/>
        <v>0</v>
      </c>
      <c r="G34" s="18" t="str">
        <f t="shared" si="8"/>
        <v>'</v>
      </c>
      <c r="H34" s="455"/>
      <c r="I34" s="18" t="str">
        <f t="shared" si="7"/>
        <v>'</v>
      </c>
    </row>
    <row r="35" spans="1:9">
      <c r="A35" s="10" t="s">
        <v>960</v>
      </c>
      <c r="B35" s="37" t="str">
        <f>Language!A1664</f>
        <v>Well organized and free of clutter?</v>
      </c>
      <c r="C35" s="456"/>
      <c r="F35" s="23">
        <f t="shared" si="6"/>
        <v>0</v>
      </c>
      <c r="G35" s="18" t="str">
        <f t="shared" si="8"/>
        <v>'</v>
      </c>
      <c r="H35" s="455"/>
      <c r="I35" s="18" t="str">
        <f t="shared" si="7"/>
        <v>'</v>
      </c>
    </row>
    <row r="36" spans="1:9">
      <c r="A36" s="10" t="s">
        <v>961</v>
      </c>
      <c r="B36" s="54" t="str">
        <f>Language!A1665</f>
        <v>Are all hazardous chemicals stored appropriately (acids separate from alkaline; flammables in a flame cabinet)?</v>
      </c>
      <c r="C36" s="27"/>
      <c r="F36" s="29">
        <f t="shared" si="6"/>
        <v>0</v>
      </c>
      <c r="G36" s="18" t="str">
        <f>IF(F36="Yes",1,IF(F36="No",0,"'"))</f>
        <v>'</v>
      </c>
      <c r="H36" s="450"/>
      <c r="I36" s="18" t="str">
        <f t="shared" si="7"/>
        <v>'</v>
      </c>
    </row>
    <row r="37" spans="1:9">
      <c r="A37" s="10" t="s">
        <v>962</v>
      </c>
      <c r="B37" s="8" t="str">
        <f>Language!A1666</f>
        <v xml:space="preserve">Is work area (bench and hood) disinfection documented daily? </v>
      </c>
      <c r="C37" s="27"/>
      <c r="F37" s="29">
        <f t="shared" si="6"/>
        <v>0</v>
      </c>
      <c r="G37" s="18" t="str">
        <f>IF(F37="Yes",1,IF(F37="No",0,"'"))</f>
        <v>'</v>
      </c>
      <c r="H37" s="450"/>
      <c r="I37" s="18" t="str">
        <f t="shared" si="7"/>
        <v>'</v>
      </c>
    </row>
    <row r="38" spans="1:9" ht="23.55" customHeight="1">
      <c r="A38" s="10"/>
      <c r="B38" s="640" t="str">
        <f>Language!A1667</f>
        <v>Standard: ISO 15189: 5.2.10 The work area should be regularly inspected for cleanliness and spills. An appropriate disinfectant should be used. At a minimum, all benchtops and working surfaces should be disinfected at the beginning and end of every shift. All spills should be contained immediately and the work surfaces disinfected.</v>
      </c>
      <c r="C38" s="641"/>
      <c r="D38" s="641"/>
      <c r="E38" s="641"/>
      <c r="F38" s="641"/>
      <c r="G38" s="641"/>
      <c r="H38" s="641"/>
    </row>
    <row r="39" spans="1:9">
      <c r="A39" s="10"/>
      <c r="B39" s="470"/>
    </row>
    <row r="40" spans="1:9">
      <c r="A40" s="166"/>
      <c r="B40" s="14" t="str">
        <f>Language!A1668</f>
        <v>BIOSAFETY DOCUMENTATION AND TRAINING</v>
      </c>
      <c r="C40" s="44" t="str">
        <f>IF(COUNTBLANK(C41:C45)=5,"???",IF(COUNT(G41:G45)=0,"NA",AVERAGE(G41:G45)))</f>
        <v>???</v>
      </c>
      <c r="F40" s="28"/>
      <c r="H40" s="200"/>
    </row>
    <row r="41" spans="1:9">
      <c r="A41" s="10" t="s">
        <v>963</v>
      </c>
      <c r="B41" s="7" t="str">
        <f>Language!A1669</f>
        <v>Is a safety/biosafety manual available in the laboratory and easily accessible to all staff?</v>
      </c>
      <c r="C41" s="27"/>
      <c r="F41" s="29">
        <f>C41</f>
        <v>0</v>
      </c>
      <c r="G41" s="18" t="str">
        <f>IF(F41="Yes",1,IF(F41="No",0,"'"))</f>
        <v>'</v>
      </c>
      <c r="H41" s="450"/>
    </row>
    <row r="42" spans="1:9">
      <c r="A42" s="10" t="s">
        <v>1864</v>
      </c>
      <c r="B42" s="7" t="str">
        <f>Language!A1670</f>
        <v>Is a training module in safety/biosafety available in the laboratory?</v>
      </c>
      <c r="C42" s="27"/>
      <c r="F42" s="29">
        <f>C42</f>
        <v>0</v>
      </c>
      <c r="G42" s="18" t="str">
        <f t="shared" ref="G42:G45" si="9">IF(F42="Yes",1,IF(F42="No",0,"'"))</f>
        <v>'</v>
      </c>
      <c r="H42" s="450"/>
    </row>
    <row r="43" spans="1:9" ht="27.6">
      <c r="A43" s="10" t="s">
        <v>1865</v>
      </c>
      <c r="B43" s="7" t="str">
        <f>Language!A1671</f>
        <v>Is there documentation demonstrating that an annual safety/biosafety refresher course is conducted for all staff handling specimens, isolates, or chemicals?</v>
      </c>
      <c r="C43" s="27"/>
      <c r="F43" s="29">
        <f>C43</f>
        <v>0</v>
      </c>
      <c r="G43" s="18" t="str">
        <f t="shared" si="9"/>
        <v>'</v>
      </c>
      <c r="H43" s="450"/>
      <c r="I43" s="18" t="str">
        <f t="shared" ref="I43" si="10">IF(C43="No","Red Flag","'")</f>
        <v>'</v>
      </c>
    </row>
    <row r="44" spans="1:9">
      <c r="A44" s="10" t="s">
        <v>1981</v>
      </c>
      <c r="B44" s="7" t="str">
        <f>Language!A1672</f>
        <v>Is there documentation demonstrating that accident/incident investigations are systematically conducted?</v>
      </c>
      <c r="C44" s="27"/>
      <c r="F44" s="29">
        <f>C44</f>
        <v>0</v>
      </c>
      <c r="G44" s="18" t="str">
        <f t="shared" si="9"/>
        <v>'</v>
      </c>
      <c r="H44" s="450"/>
    </row>
    <row r="45" spans="1:9">
      <c r="A45" s="10" t="s">
        <v>1982</v>
      </c>
      <c r="B45" s="7" t="str">
        <f>Language!A1673</f>
        <v>Are risk assessments conducted annually and each time a new analysis/technology/equipment is introduced?</v>
      </c>
      <c r="C45" s="27"/>
      <c r="F45" s="29">
        <f>C45</f>
        <v>0</v>
      </c>
      <c r="G45" s="18" t="str">
        <f t="shared" si="9"/>
        <v>'</v>
      </c>
      <c r="H45" s="450"/>
    </row>
  </sheetData>
  <sheetProtection algorithmName="SHA-256" hashValue="t/GNw9sYI/zXoL05aUO+IW7nGUIDKrjfmM7eDFaRhJU=" saltValue="dUB0mhE18vqB8fMfmqQ7hg==" spinCount="100000" sheet="1" selectLockedCells="1"/>
  <mergeCells count="5">
    <mergeCell ref="B14:H14"/>
    <mergeCell ref="B15:H15"/>
    <mergeCell ref="B17:H17"/>
    <mergeCell ref="B27:H27"/>
    <mergeCell ref="B38:H38"/>
  </mergeCells>
  <phoneticPr fontId="46" type="noConversion"/>
  <conditionalFormatting sqref="C4">
    <cfRule type="cellIs" dxfId="174" priority="487" stopIfTrue="1" operator="greaterThanOrEqual">
      <formula>0.8</formula>
    </cfRule>
    <cfRule type="cellIs" dxfId="173" priority="488" stopIfTrue="1" operator="between">
      <formula>0.5</formula>
      <formula>0.799</formula>
    </cfRule>
    <cfRule type="cellIs" dxfId="172" priority="489" stopIfTrue="1" operator="lessThan">
      <formula>0.5</formula>
    </cfRule>
  </conditionalFormatting>
  <conditionalFormatting sqref="G5:G13">
    <cfRule type="cellIs" dxfId="171" priority="160" stopIfTrue="1" operator="lessThan">
      <formula>0.5</formula>
    </cfRule>
    <cfRule type="cellIs" dxfId="170" priority="161" stopIfTrue="1" operator="between">
      <formula>0.5</formula>
      <formula>0.75</formula>
    </cfRule>
    <cfRule type="cellIs" dxfId="169" priority="162" stopIfTrue="1" operator="greaterThan">
      <formula>0.75</formula>
    </cfRule>
  </conditionalFormatting>
  <conditionalFormatting sqref="G25:G26">
    <cfRule type="cellIs" dxfId="168" priority="121" stopIfTrue="1" operator="lessThan">
      <formula>0.5</formula>
    </cfRule>
    <cfRule type="cellIs" dxfId="167" priority="122" stopIfTrue="1" operator="between">
      <formula>0.5</formula>
      <formula>0.75</formula>
    </cfRule>
    <cfRule type="cellIs" dxfId="166" priority="123" stopIfTrue="1" operator="greaterThan">
      <formula>0.75</formula>
    </cfRule>
  </conditionalFormatting>
  <conditionalFormatting sqref="C40">
    <cfRule type="cellIs" dxfId="165" priority="64" stopIfTrue="1" operator="greaterThanOrEqual">
      <formula>0.8</formula>
    </cfRule>
    <cfRule type="cellIs" dxfId="164" priority="65" stopIfTrue="1" operator="between">
      <formula>0.5</formula>
      <formula>0.799</formula>
    </cfRule>
    <cfRule type="cellIs" dxfId="163" priority="66" stopIfTrue="1" operator="lessThan">
      <formula>0.5</formula>
    </cfRule>
  </conditionalFormatting>
  <conditionalFormatting sqref="C3">
    <cfRule type="cellIs" dxfId="162" priority="58" stopIfTrue="1" operator="greaterThanOrEqual">
      <formula>0.8</formula>
    </cfRule>
    <cfRule type="cellIs" dxfId="161" priority="59" stopIfTrue="1" operator="between">
      <formula>0.5</formula>
      <formula>0.799</formula>
    </cfRule>
    <cfRule type="cellIs" dxfId="160" priority="60" stopIfTrue="1" operator="lessThan">
      <formula>0.5</formula>
    </cfRule>
  </conditionalFormatting>
  <conditionalFormatting sqref="C29">
    <cfRule type="cellIs" dxfId="159" priority="55" stopIfTrue="1" operator="greaterThanOrEqual">
      <formula>0.8</formula>
    </cfRule>
    <cfRule type="cellIs" dxfId="158" priority="56" stopIfTrue="1" operator="between">
      <formula>0.5</formula>
      <formula>0.799</formula>
    </cfRule>
    <cfRule type="cellIs" dxfId="157" priority="57" stopIfTrue="1" operator="lessThan">
      <formula>0.5</formula>
    </cfRule>
  </conditionalFormatting>
  <conditionalFormatting sqref="C18">
    <cfRule type="cellIs" dxfId="156" priority="52" stopIfTrue="1" operator="greaterThanOrEqual">
      <formula>0.8</formula>
    </cfRule>
    <cfRule type="cellIs" dxfId="155" priority="53" stopIfTrue="1" operator="between">
      <formula>0.5</formula>
      <formula>0.799</formula>
    </cfRule>
    <cfRule type="cellIs" dxfId="154" priority="54" stopIfTrue="1" operator="lessThan">
      <formula>0.5</formula>
    </cfRule>
  </conditionalFormatting>
  <conditionalFormatting sqref="I5:I13">
    <cfRule type="cellIs" dxfId="153" priority="46" stopIfTrue="1" operator="lessThan">
      <formula>0.5</formula>
    </cfRule>
    <cfRule type="cellIs" dxfId="152" priority="47" stopIfTrue="1" operator="between">
      <formula>0.5</formula>
      <formula>0.75</formula>
    </cfRule>
    <cfRule type="cellIs" dxfId="151" priority="48" stopIfTrue="1" operator="greaterThan">
      <formula>0.75</formula>
    </cfRule>
  </conditionalFormatting>
  <conditionalFormatting sqref="I5:I13">
    <cfRule type="containsText" dxfId="150" priority="45" stopIfTrue="1" operator="containsText" text="RED FLAG">
      <formula>NOT(ISERROR(SEARCH("RED FLAG",I5)))</formula>
    </cfRule>
  </conditionalFormatting>
  <conditionalFormatting sqref="I30">
    <cfRule type="cellIs" dxfId="149" priority="38" stopIfTrue="1" operator="lessThan">
      <formula>0.5</formula>
    </cfRule>
    <cfRule type="cellIs" dxfId="148" priority="39" stopIfTrue="1" operator="between">
      <formula>0.5</formula>
      <formula>0.75</formula>
    </cfRule>
    <cfRule type="cellIs" dxfId="147" priority="40" stopIfTrue="1" operator="greaterThan">
      <formula>0.75</formula>
    </cfRule>
  </conditionalFormatting>
  <conditionalFormatting sqref="I30">
    <cfRule type="containsText" dxfId="146" priority="37" stopIfTrue="1" operator="containsText" text="RED FLAG">
      <formula>NOT(ISERROR(SEARCH("RED FLAG",I30)))</formula>
    </cfRule>
  </conditionalFormatting>
  <conditionalFormatting sqref="I32:I37">
    <cfRule type="cellIs" dxfId="145" priority="34" stopIfTrue="1" operator="lessThan">
      <formula>0.5</formula>
    </cfRule>
    <cfRule type="cellIs" dxfId="144" priority="35" stopIfTrue="1" operator="between">
      <formula>0.5</formula>
      <formula>0.75</formula>
    </cfRule>
    <cfRule type="cellIs" dxfId="143" priority="36" stopIfTrue="1" operator="greaterThan">
      <formula>0.75</formula>
    </cfRule>
  </conditionalFormatting>
  <conditionalFormatting sqref="I32:I37">
    <cfRule type="containsText" dxfId="142" priority="33" stopIfTrue="1" operator="containsText" text="RED FLAG">
      <formula>NOT(ISERROR(SEARCH("RED FLAG",I32)))</formula>
    </cfRule>
  </conditionalFormatting>
  <conditionalFormatting sqref="I43">
    <cfRule type="cellIs" dxfId="141" priority="30" stopIfTrue="1" operator="lessThan">
      <formula>0.5</formula>
    </cfRule>
    <cfRule type="cellIs" dxfId="140" priority="31" stopIfTrue="1" operator="between">
      <formula>0.5</formula>
      <formula>0.75</formula>
    </cfRule>
    <cfRule type="cellIs" dxfId="139" priority="32" stopIfTrue="1" operator="greaterThan">
      <formula>0.75</formula>
    </cfRule>
  </conditionalFormatting>
  <conditionalFormatting sqref="I43">
    <cfRule type="containsText" dxfId="138" priority="29" stopIfTrue="1" operator="containsText" text="RED FLAG">
      <formula>NOT(ISERROR(SEARCH("RED FLAG",I43)))</formula>
    </cfRule>
  </conditionalFormatting>
  <conditionalFormatting sqref="G16">
    <cfRule type="cellIs" dxfId="137" priority="26" stopIfTrue="1" operator="lessThan">
      <formula>0.5</formula>
    </cfRule>
    <cfRule type="cellIs" dxfId="136" priority="27" stopIfTrue="1" operator="between">
      <formula>0.5</formula>
      <formula>0.75</formula>
    </cfRule>
    <cfRule type="cellIs" dxfId="135" priority="28" stopIfTrue="1" operator="greaterThan">
      <formula>0.75</formula>
    </cfRule>
  </conditionalFormatting>
  <conditionalFormatting sqref="G20:G24">
    <cfRule type="cellIs" dxfId="134" priority="23" stopIfTrue="1" operator="lessThan">
      <formula>0.5</formula>
    </cfRule>
    <cfRule type="cellIs" dxfId="133" priority="24" stopIfTrue="1" operator="between">
      <formula>0.5</formula>
      <formula>0.75</formula>
    </cfRule>
    <cfRule type="cellIs" dxfId="132" priority="25" stopIfTrue="1" operator="greaterThan">
      <formula>0.75</formula>
    </cfRule>
  </conditionalFormatting>
  <conditionalFormatting sqref="G30">
    <cfRule type="cellIs" dxfId="131" priority="20" stopIfTrue="1" operator="lessThan">
      <formula>0.5</formula>
    </cfRule>
    <cfRule type="cellIs" dxfId="130" priority="21" stopIfTrue="1" operator="between">
      <formula>0.5</formula>
      <formula>0.75</formula>
    </cfRule>
    <cfRule type="cellIs" dxfId="129" priority="22" stopIfTrue="1" operator="greaterThan">
      <formula>0.75</formula>
    </cfRule>
  </conditionalFormatting>
  <conditionalFormatting sqref="G36:G37">
    <cfRule type="cellIs" dxfId="128" priority="17" stopIfTrue="1" operator="lessThan">
      <formula>0.5</formula>
    </cfRule>
    <cfRule type="cellIs" dxfId="127" priority="18" stopIfTrue="1" operator="between">
      <formula>0.5</formula>
      <formula>0.75</formula>
    </cfRule>
    <cfRule type="cellIs" dxfId="126" priority="19" stopIfTrue="1" operator="greaterThan">
      <formula>0.75</formula>
    </cfRule>
  </conditionalFormatting>
  <conditionalFormatting sqref="G32:G35">
    <cfRule type="cellIs" dxfId="125" priority="14" stopIfTrue="1" operator="lessThan">
      <formula>0.5</formula>
    </cfRule>
    <cfRule type="cellIs" dxfId="124" priority="15" stopIfTrue="1" operator="between">
      <formula>0.5</formula>
      <formula>0.75</formula>
    </cfRule>
    <cfRule type="cellIs" dxfId="123" priority="16" stopIfTrue="1" operator="greaterThan">
      <formula>0.75</formula>
    </cfRule>
  </conditionalFormatting>
  <conditionalFormatting sqref="G41:G45">
    <cfRule type="cellIs" dxfId="122" priority="11" stopIfTrue="1" operator="lessThan">
      <formula>0.5</formula>
    </cfRule>
    <cfRule type="cellIs" dxfId="121" priority="12" stopIfTrue="1" operator="between">
      <formula>0.5</formula>
      <formula>0.75</formula>
    </cfRule>
    <cfRule type="cellIs" dxfId="120" priority="13" stopIfTrue="1" operator="greaterThan">
      <formula>0.75</formula>
    </cfRule>
  </conditionalFormatting>
  <conditionalFormatting sqref="I25">
    <cfRule type="containsText" dxfId="119" priority="10" operator="containsText" text="Red Flag">
      <formula>NOT(ISERROR(SEARCH("Red Flag",I25)))</formula>
    </cfRule>
  </conditionalFormatting>
  <conditionalFormatting sqref="I16">
    <cfRule type="cellIs" dxfId="118" priority="7" stopIfTrue="1" operator="lessThan">
      <formula>0.5</formula>
    </cfRule>
    <cfRule type="cellIs" dxfId="117" priority="8" stopIfTrue="1" operator="between">
      <formula>0.5</formula>
      <formula>0.75</formula>
    </cfRule>
    <cfRule type="cellIs" dxfId="116" priority="9" stopIfTrue="1" operator="greaterThan">
      <formula>0.75</formula>
    </cfRule>
  </conditionalFormatting>
  <conditionalFormatting sqref="I16">
    <cfRule type="containsText" dxfId="115" priority="6" stopIfTrue="1" operator="containsText" text="RED FLAG">
      <formula>NOT(ISERROR(SEARCH("RED FLAG",I16)))</formula>
    </cfRule>
  </conditionalFormatting>
  <conditionalFormatting sqref="I20:I24">
    <cfRule type="cellIs" dxfId="114" priority="2" stopIfTrue="1" operator="lessThan">
      <formula>0.5</formula>
    </cfRule>
    <cfRule type="cellIs" dxfId="113" priority="3" stopIfTrue="1" operator="between">
      <formula>0.5</formula>
      <formula>0.75</formula>
    </cfRule>
    <cfRule type="cellIs" dxfId="112" priority="4" stopIfTrue="1" operator="greaterThan">
      <formula>0.75</formula>
    </cfRule>
  </conditionalFormatting>
  <conditionalFormatting sqref="I20:I24">
    <cfRule type="containsText" dxfId="111" priority="1" stopIfTrue="1" operator="containsText" text="RED FLAG">
      <formula>NOT(ISERROR(SEARCH("RED FLAG",I20)))</formula>
    </cfRule>
  </conditionalFormatting>
  <dataValidations count="2">
    <dataValidation type="list" allowBlank="1" showInputMessage="1" showErrorMessage="1" sqref="C5:C13 C41:C45 C30 C16 C20:C24 C32:C37" xr:uid="{00000000-0002-0000-1200-000000000000}">
      <formula1>"Yes,No"</formula1>
    </dataValidation>
    <dataValidation type="list" allowBlank="1" showInputMessage="1" showErrorMessage="1" sqref="C25" xr:uid="{00000000-0002-0000-1200-000001000000}">
      <formula1>"1,2,3"</formula1>
    </dataValidation>
  </dataValidations>
  <pageMargins left="0.25" right="0.25" top="0.75000000000000011" bottom="0.75000000000000011" header="0.30000000000000004" footer="0.30000000000000004"/>
  <pageSetup paperSize="9" scale="94" fitToHeight="2" orientation="landscape" r:id="rId1"/>
  <headerFooter>
    <oddFooter>&amp;C&amp;A -&amp;P</oddFooter>
  </headerFooter>
  <rowBreaks count="1" manualBreakCount="1">
    <brk id="26"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FF0000"/>
  </sheetPr>
  <dimension ref="A1:J247"/>
  <sheetViews>
    <sheetView zoomScale="90" zoomScaleNormal="90" zoomScaleSheetLayoutView="80" zoomScalePageLayoutView="80" workbookViewId="0">
      <selection sqref="A1:H1"/>
    </sheetView>
  </sheetViews>
  <sheetFormatPr defaultColWidth="11" defaultRowHeight="15.6"/>
  <cols>
    <col min="1" max="1" width="0.796875" customWidth="1"/>
    <col min="2" max="2" width="45.19921875" style="30" customWidth="1"/>
    <col min="3" max="3" width="8.69921875" style="22" customWidth="1"/>
    <col min="4" max="4" width="8.796875" bestFit="1" customWidth="1"/>
    <col min="5" max="5" width="8.796875" customWidth="1"/>
    <col min="6" max="6" width="17" customWidth="1"/>
    <col min="7" max="7" width="8.796875" customWidth="1"/>
    <col min="8" max="8" width="5.296875" customWidth="1"/>
    <col min="9" max="9" width="8.796875" customWidth="1"/>
    <col min="10" max="10" width="25.69921875" customWidth="1"/>
  </cols>
  <sheetData>
    <row r="1" spans="1:10" ht="18">
      <c r="A1" s="659" t="str">
        <f>Language!A37</f>
        <v>Laboratory Assessment of Antibiotic Resistance Testing Capacity</v>
      </c>
      <c r="B1" s="659"/>
      <c r="C1" s="659"/>
      <c r="D1" s="659"/>
      <c r="E1" s="659"/>
      <c r="F1" s="659"/>
      <c r="G1" s="659"/>
      <c r="H1" s="659"/>
      <c r="I1" s="489"/>
    </row>
    <row r="2" spans="1:10">
      <c r="A2" s="660"/>
      <c r="B2" s="660"/>
      <c r="C2" s="660"/>
      <c r="D2" s="660"/>
      <c r="E2" s="660"/>
      <c r="F2" s="660"/>
      <c r="G2" s="660"/>
      <c r="H2" s="661"/>
      <c r="I2" s="490"/>
    </row>
    <row r="3" spans="1:10">
      <c r="A3" s="244"/>
      <c r="B3" s="245"/>
      <c r="C3" s="329"/>
      <c r="D3" s="231"/>
      <c r="E3" s="231"/>
      <c r="F3" s="231"/>
      <c r="G3" s="231"/>
      <c r="H3" s="231"/>
      <c r="I3" s="246"/>
    </row>
    <row r="4" spans="1:10">
      <c r="A4" s="244"/>
      <c r="B4" s="279" t="str">
        <f>Language!A39</f>
        <v xml:space="preserve">Laboratory name </v>
      </c>
      <c r="C4" s="657">
        <f>'General 0'!C8</f>
        <v>0</v>
      </c>
      <c r="D4" s="657"/>
      <c r="E4" s="657"/>
      <c r="F4" s="657"/>
      <c r="G4" s="657"/>
      <c r="H4" s="657"/>
      <c r="I4" s="246"/>
    </row>
    <row r="5" spans="1:10">
      <c r="A5" s="244"/>
      <c r="B5" s="279" t="str">
        <f>Language!A40</f>
        <v>Laboratory address</v>
      </c>
      <c r="C5" s="657">
        <f>'General 0'!C9</f>
        <v>0</v>
      </c>
      <c r="D5" s="657"/>
      <c r="E5" s="657"/>
      <c r="F5" s="657"/>
      <c r="G5" s="657"/>
      <c r="H5" s="657"/>
      <c r="I5" s="247"/>
    </row>
    <row r="6" spans="1:10">
      <c r="A6" s="244"/>
      <c r="B6" s="279" t="str">
        <f>Language!A41</f>
        <v>City/Province/District</v>
      </c>
      <c r="C6" s="329">
        <f>'General 0'!C10</f>
        <v>0</v>
      </c>
      <c r="D6" s="248"/>
      <c r="E6" s="248">
        <f>'General 0'!C11</f>
        <v>0</v>
      </c>
      <c r="F6" s="248"/>
      <c r="G6" s="248">
        <f>'General 0'!C12</f>
        <v>0</v>
      </c>
      <c r="H6" s="248"/>
      <c r="I6" s="246"/>
    </row>
    <row r="7" spans="1:10">
      <c r="A7" s="244"/>
      <c r="B7" s="279" t="str">
        <f>Language!A42</f>
        <v>Country</v>
      </c>
      <c r="C7" s="329">
        <f>'General 0'!C13</f>
        <v>0</v>
      </c>
      <c r="D7" s="248"/>
      <c r="E7" s="248"/>
      <c r="F7" s="248"/>
      <c r="G7" s="248"/>
      <c r="H7" s="248"/>
      <c r="I7" s="246"/>
    </row>
    <row r="8" spans="1:10">
      <c r="A8" s="244"/>
      <c r="B8" s="279" t="str">
        <f>Language!A43</f>
        <v>Date of Assessment</v>
      </c>
      <c r="C8" s="658">
        <f>'General 0'!C7</f>
        <v>0</v>
      </c>
      <c r="D8" s="658"/>
      <c r="E8" s="248"/>
      <c r="F8" s="248"/>
      <c r="G8" s="248"/>
      <c r="H8" s="248"/>
      <c r="I8" s="246"/>
      <c r="J8" s="103"/>
    </row>
    <row r="9" spans="1:10">
      <c r="A9" s="244"/>
      <c r="B9" s="551" t="str">
        <f>Language!A301</f>
        <v>Assessor 1 (name and affiliation)</v>
      </c>
      <c r="C9" s="329">
        <f>'General 0'!C4</f>
        <v>0</v>
      </c>
      <c r="D9" s="231"/>
      <c r="E9" s="231"/>
      <c r="F9" s="231"/>
      <c r="G9" s="231"/>
      <c r="H9" s="231"/>
      <c r="I9" s="246"/>
      <c r="J9" s="104"/>
    </row>
    <row r="10" spans="1:10">
      <c r="B10" s="472" t="str">
        <f>Language!A44</f>
        <v>TEST MENU AND ANNUAL CULTURE WORKLOAD</v>
      </c>
      <c r="C10" s="215"/>
      <c r="D10" s="63"/>
      <c r="J10" s="156"/>
    </row>
    <row r="11" spans="1:10">
      <c r="B11" s="325" t="str">
        <f>Language!A45</f>
        <v>Blood Cultures</v>
      </c>
      <c r="C11" s="330">
        <f>'General 0'!D62</f>
        <v>0</v>
      </c>
      <c r="E11" s="63"/>
      <c r="J11" s="156"/>
    </row>
    <row r="12" spans="1:10">
      <c r="B12" s="326" t="str">
        <f>Language!A46</f>
        <v>Urine Cultures</v>
      </c>
      <c r="C12" s="330">
        <f>'General 0'!D63</f>
        <v>0</v>
      </c>
      <c r="J12" s="153"/>
    </row>
    <row r="13" spans="1:10">
      <c r="B13" s="325" t="str">
        <f>Language!A47</f>
        <v>Stool Cultures</v>
      </c>
      <c r="C13" s="330">
        <f>'General 0'!D64</f>
        <v>0</v>
      </c>
      <c r="J13" s="154"/>
    </row>
    <row r="14" spans="1:10">
      <c r="B14" s="325" t="str">
        <f>Language!A48</f>
        <v>Respiratory Cultures (not TB)</v>
      </c>
      <c r="C14" s="330">
        <f>'General 0'!D71</f>
        <v>0</v>
      </c>
      <c r="J14" s="154"/>
    </row>
    <row r="15" spans="1:10">
      <c r="B15" s="325" t="str">
        <f>Language!A49</f>
        <v>Wound Cultures</v>
      </c>
      <c r="C15" s="330">
        <f>'General 0'!D72</f>
        <v>0</v>
      </c>
      <c r="J15" s="154"/>
    </row>
    <row r="16" spans="1:10">
      <c r="B16" s="325" t="str">
        <f>Language!A50</f>
        <v>Cerebrospinal Fluid Cultures</v>
      </c>
      <c r="C16" s="330">
        <f>'General 0'!D73</f>
        <v>0</v>
      </c>
      <c r="J16" s="153"/>
    </row>
    <row r="17" spans="2:10" ht="27.6" customHeight="1">
      <c r="B17" s="325" t="str">
        <f>Language!A370</f>
        <v>Sterile Body Fluid Cultures (pleural, pericardial, peritoneal, synovial)</v>
      </c>
      <c r="C17" s="330">
        <f>'General 0'!D74</f>
        <v>0</v>
      </c>
      <c r="J17" s="103"/>
    </row>
    <row r="18" spans="2:10">
      <c r="B18" s="325" t="str">
        <f>Language!A52</f>
        <v>Genital Cultures</v>
      </c>
      <c r="C18" s="330">
        <f>'General 0'!D75</f>
        <v>0</v>
      </c>
      <c r="J18" s="103"/>
    </row>
    <row r="19" spans="2:10">
      <c r="B19" s="325" t="str">
        <f>Language!A53</f>
        <v>Anaerobic Cultures</v>
      </c>
      <c r="C19" s="330">
        <f>'General 0'!D76</f>
        <v>0</v>
      </c>
      <c r="J19" s="103"/>
    </row>
    <row r="20" spans="2:10">
      <c r="B20" s="325" t="str">
        <f>Language!A54</f>
        <v>Fungal Cultures (Yeast)</v>
      </c>
      <c r="C20" s="330">
        <f>'General 0'!D77</f>
        <v>0</v>
      </c>
      <c r="J20" s="103"/>
    </row>
    <row r="21" spans="2:10">
      <c r="B21" s="325" t="str">
        <f>Language!A55</f>
        <v>Fungal Cultures (Mold)</v>
      </c>
      <c r="C21" s="330">
        <f>'General 0'!D78</f>
        <v>0</v>
      </c>
      <c r="J21" s="103"/>
    </row>
    <row r="22" spans="2:10">
      <c r="B22" s="325" t="str">
        <f>Language!A56</f>
        <v>MRSA screen (nares, axilla, groin)</v>
      </c>
      <c r="C22" s="330">
        <f>'General 0'!D79</f>
        <v>0</v>
      </c>
      <c r="J22" s="152"/>
    </row>
    <row r="23" spans="2:10">
      <c r="B23" s="325" t="str">
        <f>Language!A57</f>
        <v>VRE screen (rectal swab)</v>
      </c>
      <c r="C23" s="330">
        <f>'General 0'!D80</f>
        <v>0</v>
      </c>
      <c r="J23" s="152"/>
    </row>
    <row r="24" spans="2:10">
      <c r="B24" s="325" t="str">
        <f>Language!A58</f>
        <v>CRE screen (rectal swab)</v>
      </c>
      <c r="C24" s="330">
        <f>'General 0'!D81</f>
        <v>0</v>
      </c>
      <c r="J24" s="103"/>
    </row>
    <row r="25" spans="2:10" ht="27.6" customHeight="1">
      <c r="B25" s="327" t="str">
        <f>Language!A59</f>
        <v>ID and/or AST of isolates referred from other laboratories</v>
      </c>
      <c r="C25" s="330">
        <f>'General 0'!D82</f>
        <v>0</v>
      </c>
      <c r="J25" s="103"/>
    </row>
    <row r="26" spans="2:10">
      <c r="B26" s="327" t="str">
        <f>Language!A60</f>
        <v xml:space="preserve">Other cultures of local imoprtance </v>
      </c>
      <c r="C26" s="330">
        <f>'General 0'!D83</f>
        <v>0</v>
      </c>
      <c r="J26" s="103"/>
    </row>
    <row r="27" spans="2:10">
      <c r="B27" s="473"/>
      <c r="C27" s="177"/>
      <c r="J27" s="103"/>
    </row>
    <row r="28" spans="2:10">
      <c r="B28" s="214" t="str">
        <f>Language!A61</f>
        <v>ANNUAL AST WORKLOAD</v>
      </c>
      <c r="C28" s="216"/>
      <c r="J28" s="103"/>
    </row>
    <row r="29" spans="2:10">
      <c r="B29" s="172" t="str">
        <f>Language!A62</f>
        <v>Automated AST instrument</v>
      </c>
      <c r="C29" s="330">
        <f>'General 0'!D96+'General 0'!D98+'General 0'!D99+'General 0'!D97</f>
        <v>0</v>
      </c>
      <c r="J29" s="103"/>
    </row>
    <row r="30" spans="2:10">
      <c r="B30" s="172" t="str">
        <f>Language!A63</f>
        <v>Disk diffusion</v>
      </c>
      <c r="C30" s="330">
        <f>'General 0'!D88</f>
        <v>0</v>
      </c>
      <c r="J30" s="103"/>
    </row>
    <row r="31" spans="2:10">
      <c r="B31" s="172" t="str">
        <f>Language!A64</f>
        <v>Gradient Strip (e.g., Etest/Liofilchem)</v>
      </c>
      <c r="C31" s="330">
        <f>'General 0'!D89</f>
        <v>0</v>
      </c>
      <c r="J31" s="103"/>
    </row>
    <row r="32" spans="2:10">
      <c r="B32" s="172" t="str">
        <f>Language!A65</f>
        <v>Broth microdilution (96-well tray)</v>
      </c>
      <c r="C32" s="330">
        <f>'General 0'!D90</f>
        <v>0</v>
      </c>
      <c r="J32" s="103"/>
    </row>
    <row r="33" spans="2:10">
      <c r="B33" s="172" t="str">
        <f>Language!A66</f>
        <v>Broth macrodilultion (tube method)</v>
      </c>
      <c r="C33" s="330">
        <f>'General 0'!D91</f>
        <v>0</v>
      </c>
      <c r="J33" s="103"/>
    </row>
    <row r="34" spans="2:10">
      <c r="B34" s="172" t="str">
        <f>Language!A67</f>
        <v>Agar dilution</v>
      </c>
      <c r="C34" s="330">
        <f>'General 0'!D92</f>
        <v>0</v>
      </c>
      <c r="J34" s="103"/>
    </row>
    <row r="35" spans="2:10">
      <c r="B35" s="28"/>
      <c r="J35" s="103"/>
    </row>
    <row r="36" spans="2:10">
      <c r="B36" s="34" t="str">
        <f>Language!A68</f>
        <v>STAFFING</v>
      </c>
      <c r="C36" s="44"/>
    </row>
    <row r="37" spans="2:10" ht="27.6" customHeight="1">
      <c r="B37" s="474" t="str">
        <f>Language!A80</f>
        <v>Proportion of staff with Med Micro or Med Lab Training</v>
      </c>
      <c r="C37" s="374" t="e">
        <f>'General 0'!C136</f>
        <v>#DIV/0!</v>
      </c>
      <c r="E37" s="667" t="s">
        <v>6686</v>
      </c>
      <c r="F37" s="667"/>
      <c r="G37" s="369"/>
    </row>
    <row r="38" spans="2:10">
      <c r="B38" s="474" t="str">
        <f>Language!A81</f>
        <v>Proportion of staff with Graduate Bachelor's Degree or more</v>
      </c>
      <c r="C38" s="374" t="e">
        <f>'General 0'!C140</f>
        <v>#DIV/0!</v>
      </c>
      <c r="E38" s="663" t="str">
        <f>Language!A404</f>
        <v>ESBLs</v>
      </c>
      <c r="F38" s="664"/>
      <c r="G38" s="370">
        <f>'General 0'!C112</f>
        <v>0</v>
      </c>
    </row>
    <row r="39" spans="2:10">
      <c r="B39" s="135" t="str">
        <f>Language!A82</f>
        <v>Total number of staff members</v>
      </c>
      <c r="C39" s="375">
        <f>SUM('General 0'!D121:D131)</f>
        <v>0</v>
      </c>
      <c r="E39" s="663" t="str">
        <f>Language!A405</f>
        <v>Carbapenemases</v>
      </c>
      <c r="F39" s="664"/>
      <c r="G39" s="370">
        <f>'General 0'!C113</f>
        <v>0</v>
      </c>
    </row>
    <row r="40" spans="2:10">
      <c r="B40" s="28"/>
      <c r="E40" s="663" t="str">
        <f>Language!A406</f>
        <v xml:space="preserve">mecA </v>
      </c>
      <c r="F40" s="664"/>
      <c r="G40" s="370">
        <f>'General 0'!C114</f>
        <v>0</v>
      </c>
    </row>
    <row r="41" spans="2:10">
      <c r="B41" s="343" t="str">
        <f>Language!A83</f>
        <v>NUMBER OF FLAGS</v>
      </c>
      <c r="C41" s="331"/>
      <c r="E41" s="663" t="str">
        <f>Language!A407</f>
        <v>vanA/vanB</v>
      </c>
      <c r="F41" s="664"/>
      <c r="G41" s="370">
        <f>'General 0'!C115</f>
        <v>0</v>
      </c>
    </row>
    <row r="42" spans="2:10">
      <c r="B42" s="475" t="str">
        <f>Language!A84</f>
        <v>Red Flags</v>
      </c>
      <c r="C42" s="89">
        <f>Flags!E116</f>
        <v>0</v>
      </c>
      <c r="E42" s="663" t="str">
        <f>Language!A408</f>
        <v>mcr-1</v>
      </c>
      <c r="F42" s="664"/>
      <c r="G42" s="370">
        <f>'General 0'!C116</f>
        <v>0</v>
      </c>
    </row>
    <row r="43" spans="2:10">
      <c r="B43" s="475" t="str">
        <f>Language!A85</f>
        <v>Training Opportunities</v>
      </c>
      <c r="C43" s="89">
        <f>Flags!E130</f>
        <v>0</v>
      </c>
      <c r="E43" s="663">
        <f>'General 0'!E108:G108</f>
        <v>0</v>
      </c>
      <c r="F43" s="664"/>
      <c r="G43" s="370">
        <f>'General 0'!C117</f>
        <v>0</v>
      </c>
    </row>
    <row r="44" spans="2:10">
      <c r="B44" s="475" t="str">
        <f>Language!A86</f>
        <v>System Flags</v>
      </c>
      <c r="C44" s="89">
        <f>Flags!E159</f>
        <v>0</v>
      </c>
    </row>
    <row r="45" spans="2:10">
      <c r="B45" s="469"/>
      <c r="C45" s="485"/>
    </row>
    <row r="46" spans="2:10">
      <c r="B46" s="28"/>
    </row>
    <row r="47" spans="2:10">
      <c r="B47" s="483" t="str">
        <f>Language!A87</f>
        <v>Overall Score and Module Score Summary</v>
      </c>
      <c r="C47" s="484" t="str">
        <f>IF(COUNT(C48,C50:C61)=0,"???",AVERAGE(C48,C50:C61))</f>
        <v>???</v>
      </c>
    </row>
    <row r="48" spans="2:10">
      <c r="B48" s="56" t="str">
        <f>Language!A102</f>
        <v>1- FACILITY</v>
      </c>
      <c r="C48" s="486" t="str">
        <f>C63</f>
        <v>???</v>
      </c>
    </row>
    <row r="49" spans="2:8" ht="27.6" customHeight="1">
      <c r="B49" s="487" t="str">
        <f>Language!A89</f>
        <v>2- LAB INFORMATION SYSTEM (Excluded from overall score)</v>
      </c>
      <c r="C49" s="488" t="str">
        <f>C76</f>
        <v>???</v>
      </c>
      <c r="G49" s="63"/>
    </row>
    <row r="50" spans="2:8">
      <c r="B50" s="56" t="str">
        <f>Language!A121</f>
        <v>3- DATA MANAGEMENT</v>
      </c>
      <c r="C50" s="486" t="str">
        <f>C84</f>
        <v>???</v>
      </c>
      <c r="G50" s="63"/>
    </row>
    <row r="51" spans="2:8">
      <c r="B51" s="56" t="str">
        <f>Language!A129</f>
        <v>4- QUALITY ASSURANCE</v>
      </c>
      <c r="C51" s="486" t="str">
        <f>C93</f>
        <v>???</v>
      </c>
      <c r="G51" s="63"/>
    </row>
    <row r="52" spans="2:8">
      <c r="B52" s="487" t="str">
        <f>Language!A134</f>
        <v xml:space="preserve">5- QUALITY CONTROL - MEDIA </v>
      </c>
      <c r="C52" s="488" t="str">
        <f>C99</f>
        <v>???</v>
      </c>
      <c r="G52" s="63"/>
    </row>
    <row r="53" spans="2:8">
      <c r="B53" s="487" t="str">
        <f>Language!A141</f>
        <v>6- QUALITY CONTROL - IDENTIFICATION</v>
      </c>
      <c r="C53" s="488" t="str">
        <f>C107</f>
        <v>???</v>
      </c>
      <c r="G53" s="63"/>
    </row>
    <row r="54" spans="2:8">
      <c r="B54" s="487" t="str">
        <f>Language!A150</f>
        <v>7- QUALITY CONTROL - AST</v>
      </c>
      <c r="C54" s="488" t="str">
        <f>C117</f>
        <v>???</v>
      </c>
      <c r="D54" s="155"/>
      <c r="E54" s="155"/>
      <c r="F54" s="155"/>
      <c r="G54" s="155"/>
      <c r="H54" s="155"/>
    </row>
    <row r="55" spans="2:8">
      <c r="B55" s="487" t="str">
        <f>Language!A156</f>
        <v>8- SPECIMEN COLLECTION, TRANSPORT &amp; MANAGEMENT</v>
      </c>
      <c r="C55" s="488" t="str">
        <f>C124</f>
        <v>???</v>
      </c>
      <c r="D55" s="155"/>
      <c r="E55" s="155"/>
      <c r="F55" s="155"/>
      <c r="G55" s="155"/>
      <c r="H55" s="155"/>
    </row>
    <row r="56" spans="2:8">
      <c r="B56" s="487" t="str">
        <f>Language!A162</f>
        <v>9- PROCESSING</v>
      </c>
      <c r="C56" s="488" t="str">
        <f>C131</f>
        <v>???</v>
      </c>
      <c r="D56" s="155"/>
      <c r="E56" s="155"/>
      <c r="F56" s="155"/>
      <c r="G56" s="155"/>
      <c r="H56" s="155"/>
    </row>
    <row r="57" spans="2:8">
      <c r="B57" s="487" t="str">
        <f>Language!A167</f>
        <v>10- IDENTIFICATION METHODS &amp; SOPs</v>
      </c>
      <c r="C57" s="488" t="str">
        <f>C137</f>
        <v>???</v>
      </c>
      <c r="D57" s="155"/>
      <c r="E57" s="155"/>
      <c r="F57" s="155"/>
      <c r="G57" s="155"/>
      <c r="H57" s="155"/>
    </row>
    <row r="58" spans="2:8">
      <c r="B58" s="487" t="str">
        <f>Language!A183</f>
        <v>11- BASIC AST</v>
      </c>
      <c r="C58" s="488" t="str">
        <f>C154</f>
        <v>???</v>
      </c>
      <c r="D58" s="155"/>
      <c r="E58" s="155"/>
      <c r="F58" s="155"/>
      <c r="G58" s="155"/>
      <c r="H58" s="155"/>
    </row>
    <row r="59" spans="2:8">
      <c r="B59" s="487" t="str">
        <f>Language!A190</f>
        <v>12- AST EXPERT RULES</v>
      </c>
      <c r="C59" s="488" t="str">
        <f>C162</f>
        <v>???</v>
      </c>
      <c r="D59" s="155"/>
      <c r="E59" s="155"/>
      <c r="F59" s="155"/>
      <c r="G59" s="155"/>
      <c r="H59" s="155"/>
    </row>
    <row r="60" spans="2:8">
      <c r="B60" s="487" t="str">
        <f>Language!A201</f>
        <v>13- AST PANELS, POLICY AND ANALYSIS</v>
      </c>
      <c r="C60" s="488" t="str">
        <f>C174</f>
        <v>???</v>
      </c>
      <c r="D60" s="155"/>
      <c r="E60" s="155"/>
      <c r="F60" s="155"/>
      <c r="G60" s="155"/>
      <c r="H60" s="155"/>
    </row>
    <row r="61" spans="2:8">
      <c r="B61" s="56" t="str">
        <f>Language!A205</f>
        <v>SAFETY</v>
      </c>
      <c r="C61" s="486" t="str">
        <f>C179</f>
        <v>???</v>
      </c>
      <c r="D61" s="155"/>
      <c r="E61" s="155"/>
      <c r="F61" s="155"/>
      <c r="G61" s="155"/>
      <c r="H61" s="155"/>
    </row>
    <row r="62" spans="2:8">
      <c r="B62" s="28"/>
      <c r="D62" s="155"/>
      <c r="E62" s="155"/>
      <c r="F62" s="155"/>
      <c r="G62" s="155"/>
      <c r="H62" s="155"/>
    </row>
    <row r="63" spans="2:8">
      <c r="B63" s="483" t="str">
        <f>Language!A102</f>
        <v>1- FACILITY</v>
      </c>
      <c r="C63" s="484" t="str">
        <f>'Facility 1'!C1</f>
        <v>???</v>
      </c>
    </row>
    <row r="64" spans="2:8">
      <c r="B64" s="8" t="str">
        <f>Language!A103</f>
        <v>LABORATORY FACILITY</v>
      </c>
      <c r="C64" s="332" t="str">
        <f>'Facility 1'!C3</f>
        <v>???</v>
      </c>
    </row>
    <row r="65" spans="2:10">
      <c r="B65" s="8" t="str">
        <f>Language!A104</f>
        <v>GENERAL EQUIPMENT AVAILABILITY</v>
      </c>
      <c r="C65" s="332" t="str">
        <f>'Facility 1'!C20</f>
        <v>???</v>
      </c>
    </row>
    <row r="66" spans="2:10" ht="27.6" customHeight="1">
      <c r="B66" s="8" t="str">
        <f>Language!A105</f>
        <v>MEDIA PREPARATION EQUIPMENT AVAILABILITY</v>
      </c>
      <c r="C66" s="332" t="str">
        <f>'Facility 1'!C43</f>
        <v>???</v>
      </c>
    </row>
    <row r="67" spans="2:10">
      <c r="B67" s="8" t="str">
        <f>Language!A106</f>
        <v>EQUIPMENT CALIBRATION  RECORDS</v>
      </c>
      <c r="C67" s="332" t="str">
        <f>'Facility 1'!C53</f>
        <v>???</v>
      </c>
      <c r="J67" s="63"/>
    </row>
    <row r="68" spans="2:10">
      <c r="B68" s="8" t="str">
        <f>Language!A107</f>
        <v>THERMOMETERS</v>
      </c>
      <c r="C68" s="332" t="str">
        <f>'Facility 1'!C67</f>
        <v>???</v>
      </c>
      <c r="J68" s="63"/>
    </row>
    <row r="69" spans="2:10">
      <c r="B69" s="8" t="str">
        <f>Language!A108</f>
        <v>TEMPERATURE AND ATMOSPHERE MONITORING</v>
      </c>
      <c r="C69" s="332" t="str">
        <f>'Facility 1'!C78</f>
        <v>???</v>
      </c>
      <c r="J69" s="63"/>
    </row>
    <row r="70" spans="2:10">
      <c r="B70" s="476" t="str">
        <f>Language!A109</f>
        <v>Temperature recorded</v>
      </c>
      <c r="C70" s="333" t="e">
        <f>'Facility 1'!C79</f>
        <v>#DIV/0!</v>
      </c>
      <c r="J70" s="63"/>
    </row>
    <row r="71" spans="2:10">
      <c r="B71" s="476" t="str">
        <f>Language!A110</f>
        <v>Ranges defined</v>
      </c>
      <c r="C71" s="333" t="e">
        <f>'Facility 1'!C80</f>
        <v>#DIV/0!</v>
      </c>
      <c r="J71" s="63"/>
    </row>
    <row r="72" spans="2:10">
      <c r="B72" s="8" t="str">
        <f>Language!A111</f>
        <v>AUTOCLAVE MANAGEMENT</v>
      </c>
      <c r="C72" s="332" t="str">
        <f>'Facility 1'!C111</f>
        <v>???</v>
      </c>
      <c r="J72" s="63"/>
    </row>
    <row r="73" spans="2:10" ht="27.6" customHeight="1">
      <c r="B73" s="8" t="str">
        <f>Language!A112</f>
        <v>AUTOMATED EQUIPMENT AVAILABILITY AND MAINTENANCE</v>
      </c>
      <c r="C73" s="334" t="str">
        <f>'Facility 1'!C119</f>
        <v>???</v>
      </c>
    </row>
    <row r="74" spans="2:10">
      <c r="B74" s="8" t="str">
        <f>Language!A113</f>
        <v>INVENTORY &amp; STOCK OUTS</v>
      </c>
      <c r="C74" s="335" t="str">
        <f>'Facility 1'!C158</f>
        <v>???</v>
      </c>
    </row>
    <row r="75" spans="2:10">
      <c r="B75" s="8"/>
      <c r="C75" s="335"/>
    </row>
    <row r="76" spans="2:10">
      <c r="B76" s="483" t="str">
        <f>Language!A114</f>
        <v>2- LAB INFORMATION SYSTEM</v>
      </c>
      <c r="C76" s="484" t="str">
        <f>'LIS 2'!C1</f>
        <v>???</v>
      </c>
    </row>
    <row r="77" spans="2:10">
      <c r="B77" s="8" t="str">
        <f>Language!A115</f>
        <v>DEMOGRAPHIC DATA FIELDS</v>
      </c>
      <c r="C77" s="335" t="str">
        <f>'LIS 2'!C5</f>
        <v>???</v>
      </c>
    </row>
    <row r="78" spans="2:10">
      <c r="B78" s="8" t="str">
        <f>Language!A116</f>
        <v>SPECIMEN DATA FIELDS</v>
      </c>
      <c r="C78" s="335" t="str">
        <f>'LIS 2'!C18</f>
        <v>???</v>
      </c>
    </row>
    <row r="79" spans="2:10">
      <c r="B79" s="8" t="str">
        <f>Language!A117</f>
        <v>CULTURE OBSERVATION DATA FIELDS</v>
      </c>
      <c r="C79" s="335" t="str">
        <f>'LIS 2'!C29</f>
        <v>???</v>
      </c>
    </row>
    <row r="80" spans="2:10">
      <c r="B80" s="8" t="str">
        <f>Language!A118</f>
        <v>AST DATA FIELDS</v>
      </c>
      <c r="C80" s="335" t="str">
        <f>'LIS 2'!C43</f>
        <v>???</v>
      </c>
    </row>
    <row r="81" spans="2:3">
      <c r="B81" s="8" t="str">
        <f>Language!A119</f>
        <v>REPORTS AND DATA TRANSFER CAPABILITIES</v>
      </c>
      <c r="C81" s="335" t="str">
        <f>'LIS 2'!C57</f>
        <v>???</v>
      </c>
    </row>
    <row r="82" spans="2:3">
      <c r="B82" s="8" t="str">
        <f>Language!A120</f>
        <v>INTERFACE CONNECTIVITY</v>
      </c>
      <c r="C82" s="335" t="str">
        <f>'LIS 2'!C65</f>
        <v>???</v>
      </c>
    </row>
    <row r="83" spans="2:3">
      <c r="B83" s="8"/>
      <c r="C83" s="335"/>
    </row>
    <row r="84" spans="2:3">
      <c r="B84" s="483" t="str">
        <f>Language!A121</f>
        <v>3- DATA MANAGEMENT</v>
      </c>
      <c r="C84" s="484" t="str">
        <f>'Data Mgmt 3'!C1</f>
        <v>???</v>
      </c>
    </row>
    <row r="85" spans="2:3">
      <c r="B85" s="8" t="str">
        <f>Language!A122</f>
        <v>PATIENT AND SPECIMEN IDENTIFICATION</v>
      </c>
      <c r="C85" s="335" t="str">
        <f>'Data Mgmt 3'!C4</f>
        <v>???</v>
      </c>
    </row>
    <row r="86" spans="2:3">
      <c r="B86" s="8" t="str">
        <f>Language!A123</f>
        <v>SPECIMEN REQUISITION FORM</v>
      </c>
      <c r="C86" s="335" t="str">
        <f>'Data Mgmt 3'!C13</f>
        <v>???</v>
      </c>
    </row>
    <row r="87" spans="2:3">
      <c r="B87" s="8" t="str">
        <f>Language!A124</f>
        <v>ORDER ENTRY</v>
      </c>
      <c r="C87" s="335" t="str">
        <f>'Data Mgmt 3'!C27</f>
        <v>???</v>
      </c>
    </row>
    <row r="88" spans="2:3">
      <c r="B88" s="8" t="str">
        <f>Language!A125</f>
        <v>CULTURE OBSERVATIONS</v>
      </c>
      <c r="C88" s="335" t="str">
        <f>'Data Mgmt 3'!C43</f>
        <v>???</v>
      </c>
    </row>
    <row r="89" spans="2:3">
      <c r="B89" s="8" t="str">
        <f>Language!A126</f>
        <v>AST RESULTS REPORTING</v>
      </c>
      <c r="C89" s="335" t="str">
        <f>'Data Mgmt 3'!C68</f>
        <v>???</v>
      </c>
    </row>
    <row r="90" spans="2:3">
      <c r="B90" s="8" t="str">
        <f>Language!A127</f>
        <v>DATA BACKUP &amp; SECURITY</v>
      </c>
      <c r="C90" s="335" t="str">
        <f>'Data Mgmt 3'!C80</f>
        <v>???</v>
      </c>
    </row>
    <row r="91" spans="2:3">
      <c r="B91" s="8" t="str">
        <f>Language!A128</f>
        <v xml:space="preserve">AMR DATA SHARING </v>
      </c>
      <c r="C91" s="335" t="str">
        <f>'Data Mgmt 3'!C90</f>
        <v>???</v>
      </c>
    </row>
    <row r="92" spans="2:3">
      <c r="B92" s="8"/>
      <c r="C92" s="335"/>
    </row>
    <row r="93" spans="2:3">
      <c r="B93" s="483" t="str">
        <f>Language!A129</f>
        <v>4- QUALITY ASSURANCE</v>
      </c>
      <c r="C93" s="484" t="str">
        <f>'QA 4'!C1</f>
        <v>???</v>
      </c>
    </row>
    <row r="94" spans="2:3">
      <c r="B94" s="8" t="str">
        <f>Language!A130</f>
        <v>QUALITY STRUCTURE/BASICS</v>
      </c>
      <c r="C94" s="335" t="str">
        <f>'QA 4'!C2</f>
        <v>???</v>
      </c>
    </row>
    <row r="95" spans="2:3" ht="27.6" customHeight="1">
      <c r="B95" s="8" t="str">
        <f>Language!A131</f>
        <v>LABORATORY STAFF EDUCATION/TRAINING/COMPETENCY</v>
      </c>
      <c r="C95" s="335" t="str">
        <f>'QA 4'!C21</f>
        <v>???</v>
      </c>
    </row>
    <row r="96" spans="2:3" ht="27.6">
      <c r="B96" s="8" t="str">
        <f>Language!A132</f>
        <v>TOUBLESHOOTING, PROBLEM SOLVING, AND ROOT CAUSE ANALYSES</v>
      </c>
      <c r="C96" s="335" t="str">
        <f>'QA 4'!C36</f>
        <v>???</v>
      </c>
    </row>
    <row r="97" spans="2:6">
      <c r="B97" s="8" t="str">
        <f>Language!A133</f>
        <v>EXTERNAL QUALITY ASSESSMENT (EQA)</v>
      </c>
      <c r="C97" s="335" t="str">
        <f>'QA 4'!C46</f>
        <v>???</v>
      </c>
    </row>
    <row r="98" spans="2:6">
      <c r="B98" s="8"/>
      <c r="C98" s="335"/>
    </row>
    <row r="99" spans="2:6">
      <c r="B99" s="483" t="str">
        <f>Language!A134</f>
        <v xml:space="preserve">5- QUALITY CONTROL - MEDIA </v>
      </c>
      <c r="C99" s="484" t="str">
        <f>'Media QC 5'!C1</f>
        <v>???</v>
      </c>
    </row>
    <row r="100" spans="2:6">
      <c r="B100" s="8" t="str">
        <f>Language!A135</f>
        <v>MEDIA PREPARATION SOPs</v>
      </c>
      <c r="C100" s="335" t="str">
        <f>'Media QC 5'!C3</f>
        <v>???</v>
      </c>
    </row>
    <row r="101" spans="2:6">
      <c r="B101" s="8" t="str">
        <f>Language!A136</f>
        <v xml:space="preserve">GENERAL MEDIA PREPARATION </v>
      </c>
      <c r="C101" s="335" t="str">
        <f>'Media QC 5'!C18</f>
        <v>???</v>
      </c>
    </row>
    <row r="102" spans="2:6">
      <c r="B102" s="8" t="str">
        <f>Language!A137</f>
        <v xml:space="preserve">DISTILLED/DEIONIZED WATER PREPARATION </v>
      </c>
      <c r="C102" s="335" t="str">
        <f>'Media QC 5'!C30</f>
        <v>???</v>
      </c>
    </row>
    <row r="103" spans="2:6">
      <c r="B103" s="8" t="str">
        <f>Language!A138</f>
        <v>ROUTINE MEDIA QC</v>
      </c>
      <c r="C103" s="335" t="str">
        <f>'Media QC 5'!C36</f>
        <v>???</v>
      </c>
    </row>
    <row r="104" spans="2:6">
      <c r="B104" s="8" t="str">
        <f>Language!A139</f>
        <v>MULLER HINTON MEDIA PREPARATION AND QC</v>
      </c>
      <c r="C104" s="335" t="str">
        <f>'Media QC 5'!C51</f>
        <v>???</v>
      </c>
    </row>
    <row r="105" spans="2:6">
      <c r="B105" s="8" t="str">
        <f>Language!A140</f>
        <v>BLOOD CULTURE BOTTLES PREPARATION AND QC</v>
      </c>
      <c r="C105" s="335" t="str">
        <f>'Media QC 5'!C68</f>
        <v>???</v>
      </c>
    </row>
    <row r="106" spans="2:6">
      <c r="B106" s="8"/>
      <c r="C106" s="335"/>
    </row>
    <row r="107" spans="2:6">
      <c r="B107" s="483" t="str">
        <f>Language!A141</f>
        <v>6- QUALITY CONTROL - IDENTIFICATION</v>
      </c>
      <c r="C107" s="484" t="str">
        <f>'ID QC 6'!C1</f>
        <v>???</v>
      </c>
    </row>
    <row r="108" spans="2:6" ht="27.6" customHeight="1">
      <c r="B108" s="8" t="str">
        <f>Language!A142</f>
        <v>GRAM STAIN QC and REAGENT LABELING AND STORAGE</v>
      </c>
      <c r="C108" s="335" t="str">
        <f>'ID QC 6'!C3</f>
        <v>???</v>
      </c>
    </row>
    <row r="109" spans="2:6">
      <c r="B109" s="8" t="str">
        <f>Language!A143</f>
        <v>QC OF INDIVIDUAL BIOCHEMICAL METHODS</v>
      </c>
      <c r="C109" s="335" t="str">
        <f>'ID QC 6'!C16</f>
        <v>???</v>
      </c>
    </row>
    <row r="110" spans="2:6">
      <c r="B110" s="476" t="str">
        <f>Language!A144</f>
        <v>Positive controls are in use</v>
      </c>
      <c r="C110" s="335" t="str">
        <f>'ID QC 6'!C17</f>
        <v>???</v>
      </c>
    </row>
    <row r="111" spans="2:6">
      <c r="B111" s="476" t="str">
        <f>Language!A145</f>
        <v>Negative controls are in use</v>
      </c>
      <c r="C111" s="335" t="str">
        <f>'ID QC 6'!C18</f>
        <v>???</v>
      </c>
    </row>
    <row r="112" spans="2:6">
      <c r="B112" s="476" t="str">
        <f>Language!A146</f>
        <v>QC is performed on each new batch/lot number</v>
      </c>
      <c r="C112" s="335" t="str">
        <f>'ID QC 6'!C19</f>
        <v>???</v>
      </c>
      <c r="F112" s="5"/>
    </row>
    <row r="113" spans="2:6" ht="27.6" customHeight="1">
      <c r="B113" s="476" t="str">
        <f>Language!A147</f>
        <v>QC is performed using ATCC or ATCC-derivative strains</v>
      </c>
      <c r="C113" s="335" t="str">
        <f>'ID QC 6'!C20</f>
        <v>???</v>
      </c>
    </row>
    <row r="114" spans="2:6">
      <c r="B114" s="8" t="str">
        <f>Language!A148</f>
        <v>QC OF ENTERIC SEROLOGY</v>
      </c>
      <c r="C114" s="335" t="str">
        <f>'ID QC 6'!C138</f>
        <v>???</v>
      </c>
    </row>
    <row r="115" spans="2:6">
      <c r="B115" s="8" t="str">
        <f>Language!A149</f>
        <v>QC OF COMMERCIAL ID KITS and AUTOMATED ID SYSTEMS</v>
      </c>
      <c r="C115" s="335" t="str">
        <f>'ID QC 6'!C152</f>
        <v>???</v>
      </c>
    </row>
    <row r="116" spans="2:6">
      <c r="B116" s="8"/>
      <c r="C116" s="335"/>
    </row>
    <row r="117" spans="2:6">
      <c r="B117" s="483" t="str">
        <f>Language!A150</f>
        <v>7- QUALITY CONTROL - AST</v>
      </c>
      <c r="C117" s="484" t="str">
        <f>'AST QC 7'!C1</f>
        <v>???</v>
      </c>
    </row>
    <row r="118" spans="2:6">
      <c r="B118" s="8" t="str">
        <f>Language!A151</f>
        <v>ROUTINE AST REFERENCE STRAINS</v>
      </c>
      <c r="C118" s="335" t="str">
        <f>'AST QC 7'!C3</f>
        <v>???</v>
      </c>
    </row>
    <row r="119" spans="2:6">
      <c r="B119" s="8" t="str">
        <f>Language!A152</f>
        <v>SPECIAL AST REFERENCE STRAINS</v>
      </c>
      <c r="C119" s="335" t="str">
        <f>'AST QC 7'!C19</f>
        <v>???</v>
      </c>
    </row>
    <row r="120" spans="2:6">
      <c r="B120" s="8" t="str">
        <f>Language!A153</f>
        <v>QC OF DISC DIFFUSION AST METHODS</v>
      </c>
      <c r="C120" s="335" t="str">
        <f>'AST QC 7'!C33</f>
        <v>???</v>
      </c>
      <c r="F120" s="5"/>
    </row>
    <row r="121" spans="2:6">
      <c r="B121" s="8" t="str">
        <f>Language!A154</f>
        <v>QC OF GRADIENT STRIP AST METHODS</v>
      </c>
      <c r="C121" s="335" t="str">
        <f>'AST QC 7'!C50</f>
        <v>???</v>
      </c>
      <c r="F121" s="5"/>
    </row>
    <row r="122" spans="2:6">
      <c r="B122" s="8" t="str">
        <f>Language!A155</f>
        <v>QC OF AUTOMATED AST SYSTEMS</v>
      </c>
      <c r="C122" s="335" t="str">
        <f>'AST QC 7'!C64</f>
        <v>???</v>
      </c>
    </row>
    <row r="123" spans="2:6">
      <c r="B123" s="8"/>
      <c r="C123" s="335"/>
    </row>
    <row r="124" spans="2:6" ht="28.8" customHeight="1">
      <c r="B124" s="483" t="str">
        <f>Language!A156</f>
        <v>8- SPECIMEN COLLECTION, TRANSPORT &amp; MANAGEMENT</v>
      </c>
      <c r="C124" s="484" t="str">
        <f>'Specimen 8'!C1</f>
        <v>???</v>
      </c>
    </row>
    <row r="125" spans="2:6">
      <c r="B125" s="8" t="str">
        <f>Language!A157</f>
        <v>SPECIMEN MANAGEMENT</v>
      </c>
      <c r="C125" s="335" t="str">
        <f>'Specimen 8'!C3</f>
        <v>???</v>
      </c>
    </row>
    <row r="126" spans="2:6">
      <c r="B126" s="8" t="str">
        <f>Language!A158</f>
        <v>SPECIMEN REJECTION</v>
      </c>
      <c r="C126" s="335" t="str">
        <f>'Specimen 8'!C19</f>
        <v>???</v>
      </c>
    </row>
    <row r="127" spans="2:6">
      <c r="B127" s="8" t="str">
        <f>Language!A159</f>
        <v>BLOOD SPECIMEN COLLECTION and TRANSPORT</v>
      </c>
      <c r="C127" s="335" t="str">
        <f>'Specimen 8'!C38</f>
        <v>???</v>
      </c>
    </row>
    <row r="128" spans="2:6">
      <c r="B128" s="8" t="str">
        <f>Language!A160</f>
        <v>URINE SPECIMEN COLLECTION and TRANSPORT</v>
      </c>
      <c r="C128" s="335" t="str">
        <f>'Specimen 8'!C54</f>
        <v>???</v>
      </c>
    </row>
    <row r="129" spans="2:3">
      <c r="B129" s="8" t="str">
        <f>Language!A161</f>
        <v>STOOL SPECIMEN COLLECTION and TRANSPORT</v>
      </c>
      <c r="C129" s="335" t="str">
        <f>'Specimen 8'!C65</f>
        <v>???</v>
      </c>
    </row>
    <row r="130" spans="2:3">
      <c r="B130" s="8"/>
      <c r="C130" s="335"/>
    </row>
    <row r="131" spans="2:3">
      <c r="B131" s="483" t="str">
        <f>Language!A162</f>
        <v>9- PROCESSING</v>
      </c>
      <c r="C131" s="484" t="str">
        <f>'Processing 9'!C1</f>
        <v>???</v>
      </c>
    </row>
    <row r="132" spans="2:3">
      <c r="B132" s="8" t="str">
        <f>Language!A163</f>
        <v>BLOOD CULTURE PROCESSING</v>
      </c>
      <c r="C132" s="335" t="str">
        <f>'Processing 9'!C3</f>
        <v>???</v>
      </c>
    </row>
    <row r="133" spans="2:3">
      <c r="B133" s="8" t="str">
        <f>Language!A164</f>
        <v>MANUAL BLOOD CULTURE SYSTEMS</v>
      </c>
      <c r="C133" s="335" t="str">
        <f>'Processing 9'!C16</f>
        <v>???</v>
      </c>
    </row>
    <row r="134" spans="2:3">
      <c r="B134" s="8" t="str">
        <f>Language!A165</f>
        <v>URINE CULTURE</v>
      </c>
      <c r="C134" s="335" t="str">
        <f>'Processing 9'!C24</f>
        <v>???</v>
      </c>
    </row>
    <row r="135" spans="2:3">
      <c r="B135" s="8" t="str">
        <f>Language!A166</f>
        <v>STOOL CULTURE for Salmonella and Shigella</v>
      </c>
      <c r="C135" s="335" t="str">
        <f>'Processing 9'!C41</f>
        <v>???</v>
      </c>
    </row>
    <row r="136" spans="2:3">
      <c r="B136" s="8"/>
      <c r="C136" s="335"/>
    </row>
    <row r="137" spans="2:3">
      <c r="B137" s="483" t="str">
        <f>Language!A167</f>
        <v>10- IDENTIFICATION METHODS &amp; SOPs</v>
      </c>
      <c r="C137" s="484" t="str">
        <f>'Identification 10'!C1</f>
        <v>???</v>
      </c>
    </row>
    <row r="138" spans="2:3" ht="27.6" customHeight="1">
      <c r="B138" s="8" t="str">
        <f>Language!A168</f>
        <v>CONVENTIONAL ID METHODS - SOP SCORE SUMMARY</v>
      </c>
      <c r="C138" s="335" t="str">
        <f>'Identification 10'!C3</f>
        <v>???</v>
      </c>
    </row>
    <row r="139" spans="2:3">
      <c r="B139" s="477" t="str">
        <f>Language!A169</f>
        <v>Fully implemented*, up-to-date SOP</v>
      </c>
      <c r="C139" s="336" t="str">
        <f>'Identification 10'!C4</f>
        <v>???</v>
      </c>
    </row>
    <row r="140" spans="2:3" ht="27.6" customHeight="1">
      <c r="B140" s="477" t="str">
        <f>Language!A170</f>
        <v>SOP is readily available** to bench staff</v>
      </c>
      <c r="C140" s="336" t="str">
        <f>'Identification 10'!C5</f>
        <v>???</v>
      </c>
    </row>
    <row r="141" spans="2:3" ht="27.6" customHeight="1">
      <c r="B141" s="328" t="str">
        <f>Language!A171</f>
        <v>SOP defines QC organisms, frequency, and expected results</v>
      </c>
      <c r="C141" s="336" t="str">
        <f>'Identification 10'!C6</f>
        <v>???</v>
      </c>
    </row>
    <row r="142" spans="2:3" ht="27.6" customHeight="1">
      <c r="B142" s="328" t="str">
        <f>Language!A172</f>
        <v>SOP provides stepwise instructions for test performance</v>
      </c>
      <c r="C142" s="336" t="str">
        <f>'Identification 10'!C7</f>
        <v>???</v>
      </c>
    </row>
    <row r="143" spans="2:3" ht="27.6" customHeight="1">
      <c r="B143" s="328" t="str">
        <f>Language!A173</f>
        <v>SOP provides stepwise instructions for test interpretation</v>
      </c>
      <c r="C143" s="336" t="str">
        <f>'Identification 10'!C8</f>
        <v>???</v>
      </c>
    </row>
    <row r="144" spans="2:3" ht="27.6" customHeight="1">
      <c r="B144" s="20" t="str">
        <f>Language!A174</f>
        <v>STAPHYLOCOCCUS AUREUS, KEY ID METHODS</v>
      </c>
      <c r="C144" s="335" t="str">
        <f>'Identification 10'!C10</f>
        <v>???</v>
      </c>
    </row>
    <row r="145" spans="2:3" ht="27.6" customHeight="1">
      <c r="B145" s="20" t="str">
        <f>Language!A175</f>
        <v>STAPHYLOCOCCUS AUREUS, OTHER ID METHODS</v>
      </c>
      <c r="C145" s="335" t="str">
        <f>'Identification 10'!C32</f>
        <v>???</v>
      </c>
    </row>
    <row r="146" spans="2:3" ht="27.6" customHeight="1">
      <c r="B146" s="20" t="str">
        <f>Language!A176</f>
        <v>STREPTOCOCCUS PNEUMONIAE, CONVENTIONAL ID METHODS</v>
      </c>
      <c r="C146" s="335" t="str">
        <f>'Identification 10'!C57</f>
        <v>???</v>
      </c>
    </row>
    <row r="147" spans="2:3" ht="27.6" customHeight="1">
      <c r="B147" s="20" t="str">
        <f>Language!A177</f>
        <v>ENTEROBACTERIACEAE, CONVENTIONAL ID METHODS</v>
      </c>
      <c r="C147" s="335" t="str">
        <f>'Identification 10'!C87</f>
        <v>???</v>
      </c>
    </row>
    <row r="148" spans="2:3">
      <c r="B148" s="20" t="str">
        <f>Language!A178</f>
        <v>SHIGELLA/SALMONELLA SEROLOGY</v>
      </c>
      <c r="C148" s="335" t="str">
        <f>'Identification 10'!C152</f>
        <v>???</v>
      </c>
    </row>
    <row r="149" spans="2:3" ht="27.6" customHeight="1">
      <c r="B149" s="20" t="str">
        <f>Language!A179</f>
        <v>ACINETOBACTER SPP, CONVENTIONAL ID METHODS</v>
      </c>
      <c r="C149" s="335" t="str">
        <f>'Identification 10'!C168</f>
        <v>???</v>
      </c>
    </row>
    <row r="150" spans="2:3">
      <c r="B150" s="8" t="str">
        <f>Language!A180</f>
        <v>KIT-BASED ID METHODS</v>
      </c>
      <c r="C150" s="335" t="str">
        <f>'Identification 10'!C205</f>
        <v>???</v>
      </c>
    </row>
    <row r="151" spans="2:3">
      <c r="B151" s="8" t="str">
        <f>Language!A181</f>
        <v>AUTOMATED ID METHODS</v>
      </c>
      <c r="C151" s="335" t="str">
        <f>'Identification 10'!C220</f>
        <v>???</v>
      </c>
    </row>
    <row r="152" spans="2:3">
      <c r="B152" s="8" t="str">
        <f>Language!A182</f>
        <v>IDENTIFICATION FLOWCHARTS</v>
      </c>
      <c r="C152" s="335" t="str">
        <f>'Identification 10'!C234</f>
        <v>???</v>
      </c>
    </row>
    <row r="153" spans="2:3">
      <c r="B153" s="8"/>
      <c r="C153" s="335"/>
    </row>
    <row r="154" spans="2:3">
      <c r="B154" s="483" t="str">
        <f>Language!A183</f>
        <v>11- BASIC AST</v>
      </c>
      <c r="C154" s="484" t="str">
        <f>'Basic AST 11'!C1</f>
        <v>???</v>
      </c>
    </row>
    <row r="155" spans="2:3">
      <c r="B155" s="8" t="str">
        <f>Language!A184</f>
        <v>ANTIBIOTIC DISK AND GRADIENT STRIPS MAINTENANCE</v>
      </c>
      <c r="C155" s="335" t="str">
        <f>'Basic AST 11'!C3</f>
        <v>???</v>
      </c>
    </row>
    <row r="156" spans="2:3">
      <c r="B156" s="8" t="str">
        <f>Language!A185</f>
        <v>INOCULUM PREPARATION</v>
      </c>
      <c r="C156" s="335" t="str">
        <f>'Basic AST 11'!C15</f>
        <v>???</v>
      </c>
    </row>
    <row r="157" spans="2:3">
      <c r="B157" s="8" t="str">
        <f>Language!A186</f>
        <v>INOCULATION/INCUBATION</v>
      </c>
      <c r="C157" s="335" t="str">
        <f>'Basic AST 11'!C26</f>
        <v>???</v>
      </c>
    </row>
    <row r="158" spans="2:3">
      <c r="B158" s="8" t="str">
        <f>Language!A187</f>
        <v>READING AST RESULTS</v>
      </c>
      <c r="C158" s="335" t="str">
        <f>'Basic AST 11'!C47</f>
        <v>???</v>
      </c>
    </row>
    <row r="159" spans="2:3">
      <c r="B159" s="8" t="str">
        <f>Language!A188</f>
        <v>INTERPRETING RESULTS</v>
      </c>
      <c r="C159" s="335" t="str">
        <f>'Basic AST 11'!C64</f>
        <v>???</v>
      </c>
    </row>
    <row r="160" spans="2:3">
      <c r="B160" s="8" t="str">
        <f>Language!A189</f>
        <v>BREAKPOINTS STANDARDS</v>
      </c>
      <c r="C160" s="335" t="str">
        <f>'Basic AST 11'!C82</f>
        <v>???</v>
      </c>
    </row>
    <row r="161" spans="2:10">
      <c r="B161" s="8"/>
      <c r="C161" s="335"/>
    </row>
    <row r="162" spans="2:10">
      <c r="B162" s="483" t="str">
        <f>Language!A190</f>
        <v>12- AST EXPERT RULES</v>
      </c>
      <c r="C162" s="484" t="str">
        <f>'AST Expert rules 12'!C1</f>
        <v>???</v>
      </c>
      <c r="J162" s="163"/>
    </row>
    <row r="163" spans="2:10">
      <c r="B163" s="8" t="str">
        <f>Language!A191</f>
        <v>EXPERT RULES FOR SALMONELLA</v>
      </c>
      <c r="C163" s="335" t="str">
        <f>'AST Expert rules 12'!C3</f>
        <v>???</v>
      </c>
    </row>
    <row r="164" spans="2:10" ht="27.6" customHeight="1">
      <c r="B164" s="8" t="str">
        <f>Language!A192</f>
        <v>GRAM NEGATIVES &amp; BETA-LACTAM BREAKPOINTS</v>
      </c>
      <c r="C164" s="335" t="str">
        <f>'AST Expert rules 12'!C13</f>
        <v>???</v>
      </c>
    </row>
    <row r="165" spans="2:10">
      <c r="B165" s="8" t="str">
        <f>Language!A193</f>
        <v>PHENOTYPIC ESBL TESTING</v>
      </c>
      <c r="C165" s="335" t="str">
        <f>'AST Expert rules 12'!C41</f>
        <v>???</v>
      </c>
    </row>
    <row r="166" spans="2:10" ht="27.6" customHeight="1">
      <c r="B166" s="8" t="str">
        <f>Language!A194</f>
        <v>PHENOTYPIC CARBAPENEMASE TESTING</v>
      </c>
      <c r="C166" s="335" t="str">
        <f>'AST Expert rules 12'!C55</f>
        <v>???</v>
      </c>
    </row>
    <row r="167" spans="2:10">
      <c r="B167" s="8" t="str">
        <f>Language!A195</f>
        <v>COLISTIN TESTING</v>
      </c>
      <c r="C167" s="335" t="str">
        <f>'AST Expert rules 12'!C74</f>
        <v>???</v>
      </c>
    </row>
    <row r="168" spans="2:10">
      <c r="B168" s="8" t="str">
        <f>Language!A196</f>
        <v>EXPERT RULES FOR STAPH AUREUS</v>
      </c>
      <c r="C168" s="335" t="str">
        <f>'AST Expert rules 12'!C98</f>
        <v>???</v>
      </c>
    </row>
    <row r="169" spans="2:10">
      <c r="B169" s="8" t="str">
        <f>Language!A197</f>
        <v>GENERAL CONSIDERATIONS FOR STREP PNEUMONIAE</v>
      </c>
      <c r="C169" s="335" t="str">
        <f>'AST Expert rules 12'!C113</f>
        <v>???</v>
      </c>
    </row>
    <row r="170" spans="2:10">
      <c r="B170" s="8" t="str">
        <f>Language!A198</f>
        <v>EXPERT RULES FOR STREP PNEUMONIAE</v>
      </c>
      <c r="C170" s="335" t="str">
        <f>'AST Expert rules 12'!C122</f>
        <v>???</v>
      </c>
    </row>
    <row r="171" spans="2:10" ht="27.6" customHeight="1">
      <c r="B171" s="8" t="str">
        <f>Language!A199</f>
        <v>INDUCIBLE CLINDAMYCIN RESISTANCE TESTING</v>
      </c>
      <c r="C171" s="335" t="str">
        <f>'AST Expert rules 12'!C142</f>
        <v>???</v>
      </c>
    </row>
    <row r="172" spans="2:10">
      <c r="B172" s="8" t="str">
        <f>Language!A200</f>
        <v>EXPERT RULES FOR CEREBROSPINAL FLUID</v>
      </c>
      <c r="C172" s="335" t="str">
        <f>'AST Expert rules 12'!C150</f>
        <v>???</v>
      </c>
    </row>
    <row r="173" spans="2:10">
      <c r="B173" s="8"/>
      <c r="C173" s="335"/>
    </row>
    <row r="174" spans="2:10">
      <c r="B174" s="483" t="str">
        <f>Language!A201</f>
        <v>13- AST PANELS, POLICY AND ANALYSIS</v>
      </c>
      <c r="C174" s="484" t="str">
        <f>'AST Policy 13'!C1</f>
        <v>???</v>
      </c>
      <c r="J174" s="63"/>
    </row>
    <row r="175" spans="2:10">
      <c r="B175" s="8" t="str">
        <f>Language!A202</f>
        <v>AST PANELS</v>
      </c>
      <c r="C175" s="335" t="str">
        <f>'AST Policy 13'!C3</f>
        <v>???</v>
      </c>
    </row>
    <row r="176" spans="2:10">
      <c r="B176" s="8" t="str">
        <f>Language!A203</f>
        <v>CUMULATIVE ANTIBIOGRAMS</v>
      </c>
      <c r="C176" s="335" t="str">
        <f>'AST Policy 13'!C18</f>
        <v>???</v>
      </c>
    </row>
    <row r="177" spans="2:10">
      <c r="B177" s="8" t="str">
        <f>Language!A204</f>
        <v>AST PANEL POLICY</v>
      </c>
      <c r="C177" s="335" t="str">
        <f>'AST Policy 13'!C34</f>
        <v>???</v>
      </c>
    </row>
    <row r="178" spans="2:10">
      <c r="B178" s="8"/>
      <c r="C178" s="335"/>
    </row>
    <row r="179" spans="2:10">
      <c r="B179" s="483" t="str">
        <f>Language!A205</f>
        <v>SAFETY</v>
      </c>
      <c r="C179" s="484" t="str">
        <f>Safety!C1</f>
        <v>???</v>
      </c>
    </row>
    <row r="180" spans="2:10">
      <c r="B180" s="8" t="str">
        <f>Language!A206</f>
        <v>BIOSAFETY EQUIPMENT</v>
      </c>
      <c r="C180" s="335" t="str">
        <f>Safety!C3</f>
        <v>???</v>
      </c>
    </row>
    <row r="181" spans="2:10">
      <c r="B181" s="8" t="str">
        <f>Language!A207</f>
        <v>BIOSAFETY BEHAVIORS</v>
      </c>
      <c r="C181" s="335" t="str">
        <f>Safety!C18</f>
        <v>???</v>
      </c>
    </row>
    <row r="182" spans="2:10">
      <c r="B182" s="8" t="str">
        <f>Language!A208</f>
        <v>PERSONAL PROTECTIVE EQUIPMENT</v>
      </c>
      <c r="C182" s="335" t="str">
        <f>Safety!C29</f>
        <v>???</v>
      </c>
    </row>
    <row r="183" spans="2:10">
      <c r="B183" s="8" t="str">
        <f>Language!A209</f>
        <v>BIOSAFETY DOCUMENTATION AND TRAINING</v>
      </c>
      <c r="C183" s="335" t="str">
        <f>Safety!C40</f>
        <v>???</v>
      </c>
    </row>
    <row r="184" spans="2:10">
      <c r="B184" s="28"/>
    </row>
    <row r="185" spans="2:10">
      <c r="B185" s="478" t="str">
        <f>Language!A210</f>
        <v>Biochemical Identification Reagents</v>
      </c>
      <c r="C185" s="337" t="str">
        <f>Language!A211</f>
        <v>In Use?</v>
      </c>
      <c r="D185" s="570" t="str">
        <f>Language!A212</f>
        <v>QC Score</v>
      </c>
      <c r="E185" s="571" t="str">
        <f>Language!A213</f>
        <v>SOP Score</v>
      </c>
      <c r="I185" s="178"/>
      <c r="J185" s="155"/>
    </row>
    <row r="186" spans="2:10">
      <c r="B186" s="169" t="str">
        <f>Language!A214</f>
        <v>Catalase (H2O2)</v>
      </c>
      <c r="C186" s="89">
        <f>'Identification 10'!F12</f>
        <v>0</v>
      </c>
      <c r="D186" s="338" t="str">
        <f>'ID QC 6'!C21</f>
        <v>???</v>
      </c>
      <c r="E186" s="284" t="str">
        <f>'Identification 10'!C11</f>
        <v>???</v>
      </c>
      <c r="I186" s="155"/>
      <c r="J186" s="155"/>
    </row>
    <row r="187" spans="2:10">
      <c r="B187" s="169" t="str">
        <f>Language!A215</f>
        <v>Coagulase plasma</v>
      </c>
      <c r="C187" s="89">
        <f>'Identification 10'!F21</f>
        <v>0</v>
      </c>
      <c r="D187" s="338" t="str">
        <f>'ID QC 6'!C26</f>
        <v>???</v>
      </c>
      <c r="E187" s="284" t="str">
        <f>'Identification 10'!C20</f>
        <v>???</v>
      </c>
      <c r="I187" s="155"/>
      <c r="J187" s="155"/>
    </row>
    <row r="188" spans="2:10">
      <c r="B188" s="169" t="str">
        <f>Language!A216</f>
        <v>Staph latex agglutination</v>
      </c>
      <c r="C188" s="89">
        <f>'Identification 10'!F34</f>
        <v>0</v>
      </c>
      <c r="D188" s="338" t="str">
        <f>'ID QC 6'!C31</f>
        <v>???</v>
      </c>
      <c r="E188" s="284" t="str">
        <f>'Identification 10'!C33</f>
        <v>???</v>
      </c>
      <c r="I188" s="155"/>
      <c r="J188" s="155"/>
    </row>
    <row r="189" spans="2:10">
      <c r="B189" s="169" t="str">
        <f>Language!A217</f>
        <v>Staph chromagar</v>
      </c>
      <c r="C189" s="89">
        <f>'Identification 10'!F43</f>
        <v>0</v>
      </c>
      <c r="D189" s="338" t="str">
        <f>'ID QC 6'!C36</f>
        <v>???</v>
      </c>
      <c r="E189" s="284" t="str">
        <f>'Identification 10'!C42</f>
        <v>???</v>
      </c>
      <c r="I189" s="155"/>
      <c r="J189" s="155"/>
    </row>
    <row r="190" spans="2:10">
      <c r="B190" s="169" t="str">
        <f>Language!A218</f>
        <v>DNase</v>
      </c>
      <c r="C190" s="89">
        <f>'Identification 10'!F50</f>
        <v>0</v>
      </c>
      <c r="D190" s="338" t="str">
        <f>'ID QC 6'!C41</f>
        <v>???</v>
      </c>
      <c r="E190" s="284" t="str">
        <f>'Identification 10'!C49</f>
        <v>???</v>
      </c>
      <c r="I190" s="155"/>
      <c r="J190" s="155"/>
    </row>
    <row r="191" spans="2:10">
      <c r="B191" s="169" t="str">
        <f>Language!A219</f>
        <v>PYR</v>
      </c>
      <c r="C191" s="89">
        <f>'Identification 10'!F59</f>
        <v>0</v>
      </c>
      <c r="D191" s="338" t="str">
        <f>'ID QC 6'!C46</f>
        <v>???</v>
      </c>
      <c r="E191" s="284" t="str">
        <f>'Identification 10'!C58</f>
        <v>???</v>
      </c>
      <c r="I191" s="155"/>
      <c r="J191" s="155"/>
    </row>
    <row r="192" spans="2:10">
      <c r="B192" s="169" t="str">
        <f>Language!A220</f>
        <v>Optochin ("P") disk</v>
      </c>
      <c r="C192" s="89">
        <f>'Identification 10'!F73</f>
        <v>0</v>
      </c>
      <c r="D192" s="338" t="str">
        <f>'ID QC 6'!C51</f>
        <v>???</v>
      </c>
      <c r="E192" s="284" t="str">
        <f>'Identification 10'!C72</f>
        <v>???</v>
      </c>
      <c r="I192" s="155"/>
      <c r="J192" s="155"/>
    </row>
    <row r="193" spans="2:10">
      <c r="B193" s="169" t="str">
        <f>Language!A221</f>
        <v>Bile solubility (deoxycholate)</v>
      </c>
      <c r="C193" s="89">
        <f>'Identification 10'!F66</f>
        <v>0</v>
      </c>
      <c r="D193" s="338" t="str">
        <f>'ID QC 6'!C56</f>
        <v>???</v>
      </c>
      <c r="E193" s="284" t="str">
        <f>'Identification 10'!C65</f>
        <v>???</v>
      </c>
      <c r="I193" s="155"/>
      <c r="J193" s="155"/>
    </row>
    <row r="194" spans="2:10">
      <c r="B194" s="169" t="str">
        <f>Language!A222</f>
        <v>Strep. pneumo latex agglutination</v>
      </c>
      <c r="C194" s="89">
        <f>'Identification 10'!F81</f>
        <v>0</v>
      </c>
      <c r="D194" s="338" t="str">
        <f>'ID QC 6'!C61</f>
        <v>???</v>
      </c>
      <c r="E194" s="284" t="str">
        <f>'Identification 10'!C80</f>
        <v>???</v>
      </c>
      <c r="I194" s="155"/>
      <c r="J194" s="155"/>
    </row>
    <row r="195" spans="2:10">
      <c r="B195" s="169" t="str">
        <f>Language!A223</f>
        <v>Oxidase</v>
      </c>
      <c r="C195" s="89">
        <f>'Identification 10'!F89</f>
        <v>0</v>
      </c>
      <c r="D195" s="338" t="str">
        <f>'ID QC 6'!C66</f>
        <v>???</v>
      </c>
      <c r="E195" s="284" t="str">
        <f>'Identification 10'!C88</f>
        <v>???</v>
      </c>
    </row>
    <row r="196" spans="2:10">
      <c r="B196" s="169" t="str">
        <f>Language!A224</f>
        <v>Indole reagents</v>
      </c>
      <c r="C196" s="89">
        <f>'Identification 10'!F96</f>
        <v>0</v>
      </c>
      <c r="D196" s="338" t="str">
        <f>'ID QC 6'!C71</f>
        <v>???</v>
      </c>
      <c r="E196" s="284" t="str">
        <f>'Identification 10'!C95</f>
        <v>???</v>
      </c>
    </row>
    <row r="197" spans="2:10">
      <c r="B197" s="169" t="str">
        <f>Language!A225</f>
        <v>Methyl Red</v>
      </c>
      <c r="C197" s="89">
        <f>'Identification 10'!F103</f>
        <v>0</v>
      </c>
      <c r="D197" s="338" t="str">
        <f>'ID QC 6'!C76</f>
        <v>???</v>
      </c>
      <c r="E197" s="284" t="str">
        <f>'Identification 10'!C102</f>
        <v>???</v>
      </c>
    </row>
    <row r="198" spans="2:10">
      <c r="B198" s="169" t="str">
        <f>Language!A226</f>
        <v>Voges-Proskauer</v>
      </c>
      <c r="C198" s="89">
        <f>'Identification 10'!F110</f>
        <v>0</v>
      </c>
      <c r="D198" s="338" t="str">
        <f>'ID QC 6'!C81</f>
        <v>???</v>
      </c>
      <c r="E198" s="284" t="str">
        <f>'Identification 10'!C109</f>
        <v>???</v>
      </c>
    </row>
    <row r="199" spans="2:10">
      <c r="B199" s="169" t="str">
        <f>Language!A227</f>
        <v>Citrate</v>
      </c>
      <c r="C199" s="89">
        <f>'Identification 10'!F117</f>
        <v>0</v>
      </c>
      <c r="D199" s="338" t="str">
        <f>'ID QC 6'!C86</f>
        <v>???</v>
      </c>
      <c r="E199" s="284" t="str">
        <f>'Identification 10'!C116</f>
        <v>???</v>
      </c>
    </row>
    <row r="200" spans="2:10">
      <c r="B200" s="169" t="str">
        <f>Language!A228</f>
        <v>Triple Sugar Iron agar or Kligler's Iron Agar</v>
      </c>
      <c r="C200" s="89">
        <f>'Identification 10'!F124</f>
        <v>0</v>
      </c>
      <c r="D200" s="338" t="str">
        <f>'ID QC 6'!C91</f>
        <v>???</v>
      </c>
      <c r="E200" s="284" t="str">
        <f>'Identification 10'!C123</f>
        <v>???</v>
      </c>
    </row>
    <row r="201" spans="2:10">
      <c r="B201" s="169" t="str">
        <f>Language!A229</f>
        <v>Urease</v>
      </c>
      <c r="C201" s="89">
        <f>'Identification 10'!F131</f>
        <v>0</v>
      </c>
      <c r="D201" s="338" t="str">
        <f>'ID QC 6'!C96</f>
        <v>???</v>
      </c>
      <c r="E201" s="284" t="str">
        <f>'Identification 10'!C130</f>
        <v>???</v>
      </c>
    </row>
    <row r="202" spans="2:10">
      <c r="B202" s="169" t="str">
        <f>Language!A230</f>
        <v>Motility</v>
      </c>
      <c r="C202" s="89">
        <f>'Identification 10'!F138</f>
        <v>0</v>
      </c>
      <c r="D202" s="338" t="str">
        <f>'ID QC 6'!C101</f>
        <v>???</v>
      </c>
      <c r="E202" s="284" t="str">
        <f>'Identification 10'!C137</f>
        <v>???</v>
      </c>
    </row>
    <row r="203" spans="2:10">
      <c r="B203" s="169" t="str">
        <f>Language!A231</f>
        <v>Lysine Iron Agar (LIA) or Lysine decarboxylase (LDC)</v>
      </c>
      <c r="C203" s="89">
        <f>'Identification 10'!F145</f>
        <v>0</v>
      </c>
      <c r="D203" s="338" t="str">
        <f>'ID QC 6'!C106</f>
        <v>???</v>
      </c>
      <c r="E203" s="284" t="str">
        <f>'Identification 10'!C144</f>
        <v>???</v>
      </c>
    </row>
    <row r="204" spans="2:10">
      <c r="B204" s="169" t="str">
        <f>Language!A232</f>
        <v>Glucose or Dextrose Oxidative-Fermentative (OF) test</v>
      </c>
      <c r="C204" s="89">
        <f>'Identification 10'!F170</f>
        <v>0</v>
      </c>
      <c r="D204" s="338" t="str">
        <f>'ID QC 6'!C111</f>
        <v>???</v>
      </c>
      <c r="E204" s="284" t="str">
        <f>'Identification 10'!C169</f>
        <v>???</v>
      </c>
    </row>
    <row r="205" spans="2:10">
      <c r="B205" s="169" t="str">
        <f>Language!A233</f>
        <v>Nitrate reduction</v>
      </c>
      <c r="C205" s="89">
        <f>'Identification 10'!F177</f>
        <v>0</v>
      </c>
      <c r="D205" s="338" t="str">
        <f>'ID QC 6'!C116</f>
        <v>???</v>
      </c>
      <c r="E205" s="284" t="str">
        <f>'Identification 10'!C176</f>
        <v>???</v>
      </c>
    </row>
    <row r="206" spans="2:10">
      <c r="B206" s="169" t="str">
        <f>Language!A234</f>
        <v>Gelatin hydrolysis</v>
      </c>
      <c r="C206" s="89">
        <f>'Identification 10'!F184</f>
        <v>0</v>
      </c>
      <c r="D206" s="338" t="str">
        <f>'ID QC 6'!C121</f>
        <v>???</v>
      </c>
      <c r="E206" s="284" t="str">
        <f>'Identification 10'!C183</f>
        <v>???</v>
      </c>
    </row>
    <row r="207" spans="2:10">
      <c r="B207" s="169" t="str">
        <f>Language!A235</f>
        <v>Chloramphenicol resistance (disk)</v>
      </c>
      <c r="C207" s="89">
        <f>'Identification 10'!F191</f>
        <v>0</v>
      </c>
      <c r="D207" s="338" t="str">
        <f>'ID QC 6'!C126</f>
        <v>???</v>
      </c>
      <c r="E207" s="284" t="str">
        <f>'Identification 10'!C190</f>
        <v>???</v>
      </c>
    </row>
    <row r="208" spans="2:10">
      <c r="B208" s="169" t="str">
        <f>Language!A236</f>
        <v>Growth at 42°C</v>
      </c>
      <c r="C208" s="89">
        <f>'Identification 10'!F198</f>
        <v>0</v>
      </c>
      <c r="D208" s="338" t="str">
        <f>'ID QC 6'!C131</f>
        <v>???</v>
      </c>
      <c r="E208" s="284" t="str">
        <f>'Identification 10'!C197</f>
        <v>???</v>
      </c>
    </row>
    <row r="209" spans="2:7">
      <c r="B209" s="169" t="str">
        <f>Language!A237</f>
        <v>Shigella serology</v>
      </c>
      <c r="C209" s="89">
        <f>'Identification 10'!F154</f>
        <v>0</v>
      </c>
      <c r="D209" s="338" t="str">
        <f>'ID QC 6'!C141</f>
        <v>???</v>
      </c>
      <c r="E209" s="284" t="str">
        <f>'Identification 10'!C153</f>
        <v>???</v>
      </c>
    </row>
    <row r="210" spans="2:7">
      <c r="B210" s="169" t="str">
        <f>Language!A238</f>
        <v>Salmonella serology</v>
      </c>
      <c r="C210" s="89">
        <f>'Identification 10'!F161</f>
        <v>0</v>
      </c>
      <c r="D210" s="338" t="str">
        <f>'ID QC 6'!C146</f>
        <v>???</v>
      </c>
      <c r="E210" s="284" t="str">
        <f>'Identification 10'!C160</f>
        <v>???</v>
      </c>
    </row>
    <row r="211" spans="2:7">
      <c r="B211" s="28"/>
    </row>
    <row r="212" spans="2:7">
      <c r="B212" s="479" t="str">
        <f>Language!A239</f>
        <v>Equipment availability summary</v>
      </c>
      <c r="C212" s="339"/>
      <c r="E212" s="665" t="str">
        <f>Language!A429</f>
        <v>QMS MENTORING PROGRAMS</v>
      </c>
      <c r="F212" s="665"/>
      <c r="G212" s="369"/>
    </row>
    <row r="213" spans="2:7">
      <c r="B213" s="480" t="str">
        <f>Language!A240</f>
        <v>General equipment</v>
      </c>
      <c r="C213" s="372" t="s">
        <v>323</v>
      </c>
      <c r="E213" s="663" t="s">
        <v>6687</v>
      </c>
      <c r="F213" s="664"/>
      <c r="G213" s="370">
        <f>'General 0'!C144</f>
        <v>0</v>
      </c>
    </row>
    <row r="214" spans="2:7" ht="27.6" customHeight="1">
      <c r="B214" s="172" t="str">
        <f>Language!A241</f>
        <v>McFarland QC standards of known densities, including 0.5, not expired</v>
      </c>
      <c r="C214" s="340">
        <f>'Facility 1'!D22</f>
        <v>0</v>
      </c>
      <c r="E214" s="663" t="s">
        <v>6688</v>
      </c>
      <c r="F214" s="664"/>
      <c r="G214" s="370">
        <f>'General 0'!C149</f>
        <v>0</v>
      </c>
    </row>
    <row r="215" spans="2:7">
      <c r="B215" s="172" t="str">
        <f>Language!A242</f>
        <v>Ruler or caliper with millimeter markings</v>
      </c>
      <c r="C215" s="340">
        <f>'Facility 1'!D23</f>
        <v>0</v>
      </c>
      <c r="E215" s="663" t="s">
        <v>6689</v>
      </c>
      <c r="F215" s="664"/>
      <c r="G215" s="370">
        <f>'General 0'!C152</f>
        <v>0</v>
      </c>
    </row>
    <row r="216" spans="2:7">
      <c r="B216" s="172" t="str">
        <f>Language!A243</f>
        <v>Bunsen burners or micro-incinerators</v>
      </c>
      <c r="C216" s="340">
        <f>'Facility 1'!D24</f>
        <v>0</v>
      </c>
    </row>
    <row r="217" spans="2:7" ht="27.6" customHeight="1">
      <c r="B217" s="172" t="str">
        <f>Language!A244</f>
        <v>Calibrated 1uL or 10uL loops (for plating urine cultures)</v>
      </c>
      <c r="C217" s="340" t="str">
        <f>'Facility 1'!D25</f>
        <v>na</v>
      </c>
    </row>
    <row r="218" spans="2:7" ht="27.6" customHeight="1">
      <c r="B218" s="172" t="str">
        <f>Language!A245</f>
        <v>Optical densitometer/turbidimeter (for determining McFarland density)</v>
      </c>
      <c r="C218" s="340">
        <f>'Facility 1'!D26</f>
        <v>0</v>
      </c>
      <c r="E218" s="666" t="str">
        <f>Language!A439</f>
        <v>ACCREDITATION and CERTIFICATION</v>
      </c>
      <c r="F218" s="666"/>
      <c r="G218" s="666"/>
    </row>
    <row r="219" spans="2:7">
      <c r="B219" s="172" t="str">
        <f>Language!A246</f>
        <v>Microliter pipettes (e.g., Eppendorf)</v>
      </c>
      <c r="C219" s="340">
        <f>'Facility 1'!D27</f>
        <v>0</v>
      </c>
      <c r="E219" s="662" t="str">
        <f>Language!A441</f>
        <v>Blood cultures</v>
      </c>
      <c r="F219" s="662"/>
      <c r="G219" s="370">
        <f>'General 0'!C156</f>
        <v>0</v>
      </c>
    </row>
    <row r="220" spans="2:7">
      <c r="B220" s="172" t="str">
        <f>Language!A247</f>
        <v>Centrifuge (not used for TB cultures)</v>
      </c>
      <c r="C220" s="340">
        <f>'Facility 1'!D28</f>
        <v>0</v>
      </c>
      <c r="D220" s="323"/>
      <c r="E220" s="662" t="str">
        <f>Language!A442</f>
        <v>Stool cultures</v>
      </c>
      <c r="F220" s="662"/>
      <c r="G220" s="370">
        <f>'General 0'!C157</f>
        <v>0</v>
      </c>
    </row>
    <row r="221" spans="2:7">
      <c r="B221" s="172" t="str">
        <f>Language!A248</f>
        <v>Microscope</v>
      </c>
      <c r="C221" s="340">
        <f>'Facility 1'!D29</f>
        <v>0</v>
      </c>
      <c r="E221" s="662" t="str">
        <f>Language!A443</f>
        <v>Urine cultures</v>
      </c>
      <c r="F221" s="662"/>
      <c r="G221" s="370">
        <f>'General 0'!C158</f>
        <v>0</v>
      </c>
    </row>
    <row r="222" spans="2:7">
      <c r="B222" s="172" t="str">
        <f>Language!A249</f>
        <v>Thermometers</v>
      </c>
      <c r="C222" s="340">
        <f>'Facility 1'!D30</f>
        <v>0</v>
      </c>
      <c r="E222" s="662" t="str">
        <f>Language!A444</f>
        <v>Organism Identification</v>
      </c>
      <c r="F222" s="662"/>
      <c r="G222" s="370">
        <f>'General 0'!C159</f>
        <v>0</v>
      </c>
    </row>
    <row r="223" spans="2:7">
      <c r="B223" s="172" t="str">
        <f>Language!A250</f>
        <v>CO2 incubators</v>
      </c>
      <c r="C223" s="340">
        <f>'Facility 1'!D31</f>
        <v>0</v>
      </c>
      <c r="E223" s="668" t="str">
        <f>Language!A445</f>
        <v>Antibiotic Susceptibility Testing</v>
      </c>
      <c r="F223" s="668"/>
      <c r="G223" s="370">
        <f>'General 0'!C160</f>
        <v>0</v>
      </c>
    </row>
    <row r="224" spans="2:7">
      <c r="B224" s="213" t="str">
        <f>Language!A251</f>
        <v>Candle jars</v>
      </c>
      <c r="C224" s="340">
        <f>'Facility 1'!D32</f>
        <v>0</v>
      </c>
      <c r="E224" s="662">
        <f>'General 0'!E161:G161</f>
        <v>0</v>
      </c>
      <c r="F224" s="662"/>
      <c r="G224" s="370">
        <f>'General 0'!C161</f>
        <v>0</v>
      </c>
    </row>
    <row r="225" spans="2:3">
      <c r="B225" s="172" t="str">
        <f>Language!A252</f>
        <v>Ambient (non-CO2) incubator</v>
      </c>
      <c r="C225" s="340">
        <f>'Facility 1'!D33</f>
        <v>0</v>
      </c>
    </row>
    <row r="226" spans="2:3">
      <c r="B226" s="172" t="str">
        <f>Language!A253</f>
        <v>Refrigerator (2-8°C)</v>
      </c>
      <c r="C226" s="340">
        <f>'Facility 1'!D34</f>
        <v>0</v>
      </c>
    </row>
    <row r="227" spans="2:3">
      <c r="B227" s="172" t="str">
        <f>Language!A254</f>
        <v xml:space="preserve">Non-defrosting freezer, -20°C </v>
      </c>
      <c r="C227" s="340">
        <f>'Facility 1'!D35</f>
        <v>0</v>
      </c>
    </row>
    <row r="228" spans="2:3">
      <c r="B228" s="173" t="str">
        <f>Language!A255</f>
        <v>Non-defrosting freezer, -60°C</v>
      </c>
      <c r="C228" s="340">
        <f>'Facility 1'!D36</f>
        <v>0</v>
      </c>
    </row>
    <row r="229" spans="2:3">
      <c r="B229" s="172" t="str">
        <f>Language!A256</f>
        <v xml:space="preserve">Non-defrosting freezer, -80°C </v>
      </c>
      <c r="C229" s="340">
        <f>'Facility 1'!D37</f>
        <v>0</v>
      </c>
    </row>
    <row r="230" spans="2:3" ht="27.6" customHeight="1">
      <c r="B230" s="172" t="str">
        <f>Language!A257</f>
        <v>Rechargeable desiccants (for storage of open antibiotic disks and strips)</v>
      </c>
      <c r="C230" s="340" t="str">
        <f>'Facility 1'!D38</f>
        <v>na</v>
      </c>
    </row>
    <row r="231" spans="2:3">
      <c r="B231" s="172" t="str">
        <f>Language!A258</f>
        <v>Hot air oven (for drying saturated desiccants)</v>
      </c>
      <c r="C231" s="340">
        <f>'Facility 1'!D39</f>
        <v>0</v>
      </c>
    </row>
    <row r="232" spans="2:3">
      <c r="B232" s="172" t="str">
        <f>Language!A259</f>
        <v>Biological Safety Cabinet Class IIA</v>
      </c>
      <c r="C232" s="340">
        <f>'Facility 1'!D40</f>
        <v>0</v>
      </c>
    </row>
    <row r="233" spans="2:3">
      <c r="B233" s="172" t="str">
        <f>Language!A260</f>
        <v>Autoclave for media preparation ("clean" autoclave)</v>
      </c>
      <c r="C233" s="340">
        <f>'Facility 1'!D41</f>
        <v>0</v>
      </c>
    </row>
    <row r="234" spans="2:3">
      <c r="B234" s="172" t="str">
        <f>Language!A261</f>
        <v>Autoclave for sterlizing waste ("dirty" autoclave)</v>
      </c>
      <c r="C234" s="340">
        <f>'Facility 1'!D42</f>
        <v>0</v>
      </c>
    </row>
    <row r="235" spans="2:3">
      <c r="B235" s="480" t="str">
        <f>Language!A262</f>
        <v>Media Preparation equipment</v>
      </c>
      <c r="C235" s="373"/>
    </row>
    <row r="236" spans="2:3">
      <c r="B236" s="172" t="str">
        <f>Language!A263</f>
        <v>pH meter</v>
      </c>
      <c r="C236" s="341">
        <f>'Facility 1'!D47</f>
        <v>0</v>
      </c>
    </row>
    <row r="237" spans="2:3">
      <c r="B237" s="172" t="str">
        <f>Language!A264</f>
        <v>Weighing balance</v>
      </c>
      <c r="C237" s="341">
        <f>'Facility 1'!D48</f>
        <v>0</v>
      </c>
    </row>
    <row r="238" spans="2:3">
      <c r="B238" s="172" t="str">
        <f>Language!A265</f>
        <v>Conductivity meter</v>
      </c>
      <c r="C238" s="341">
        <f>'Facility 1'!D49</f>
        <v>0</v>
      </c>
    </row>
    <row r="239" spans="2:3">
      <c r="B239" s="172" t="str">
        <f>Language!A266</f>
        <v>Distillator/reverse osmosis equipment</v>
      </c>
      <c r="C239" s="341">
        <f>'Facility 1'!D50</f>
        <v>0</v>
      </c>
    </row>
    <row r="240" spans="2:3" ht="27.6" customHeight="1">
      <c r="B240" s="172" t="str">
        <f>Language!A267</f>
        <v>Hot plate with magnetic stir bar (for mixing powdered media)</v>
      </c>
      <c r="C240" s="341">
        <f>'Facility 1'!D51</f>
        <v>0</v>
      </c>
    </row>
    <row r="241" spans="2:3">
      <c r="B241" s="172" t="str">
        <f>Language!A268</f>
        <v>Water bath</v>
      </c>
      <c r="C241" s="341">
        <f>'Facility 1'!D52</f>
        <v>0</v>
      </c>
    </row>
    <row r="242" spans="2:3">
      <c r="B242" s="480" t="str">
        <f>Language!A269</f>
        <v>Automated Instruments</v>
      </c>
      <c r="C242" s="373"/>
    </row>
    <row r="243" spans="2:3">
      <c r="B243" s="172" t="str">
        <f>Language!A270</f>
        <v>Blood culture instrument</v>
      </c>
      <c r="C243" s="89">
        <f>'Facility 1'!D121</f>
        <v>0</v>
      </c>
    </row>
    <row r="244" spans="2:3" ht="27.6" customHeight="1">
      <c r="B244" s="172" t="str">
        <f>Language!A271</f>
        <v>Instrument for bacterial ID and AST (e.g. Vitek, Phoenix, Microscan)</v>
      </c>
      <c r="C244" s="89">
        <f>'Facility 1'!D128</f>
        <v>0</v>
      </c>
    </row>
    <row r="245" spans="2:3" ht="27.6" customHeight="1">
      <c r="B245" s="172" t="str">
        <f>Language!A272</f>
        <v>Instrument for reading disk diffusion (e.g. SIRSCAN, BIOMIC V3, ADAGIO, etc.)</v>
      </c>
      <c r="C245" s="89">
        <f>'Facility 1'!D135</f>
        <v>0</v>
      </c>
    </row>
    <row r="246" spans="2:3">
      <c r="B246" s="172" t="str">
        <f>Language!A273</f>
        <v xml:space="preserve">MALDI instrument for organism ID </v>
      </c>
      <c r="C246" s="89">
        <f>'Facility 1'!D142</f>
        <v>0</v>
      </c>
    </row>
    <row r="247" spans="2:3">
      <c r="B247" s="172" t="str">
        <f>Language!A274</f>
        <v xml:space="preserve">PCR instrument for antibiotic resistance gene detection </v>
      </c>
      <c r="C247" s="89">
        <f>'Facility 1'!D149</f>
        <v>0</v>
      </c>
    </row>
  </sheetData>
  <sheetProtection algorithmName="SHA-256" hashValue="fFmMRlSsj93q5mRYfSSLSlTgjFf2bObTq1d5Cy1+JNE=" saltValue="faPwTLATSaSlMSodo0SKjA==" spinCount="100000" sheet="1" selectLockedCells="1"/>
  <mergeCells count="23">
    <mergeCell ref="E38:F38"/>
    <mergeCell ref="E37:F37"/>
    <mergeCell ref="E221:F221"/>
    <mergeCell ref="E222:F222"/>
    <mergeCell ref="E223:F223"/>
    <mergeCell ref="E39:F39"/>
    <mergeCell ref="E40:F40"/>
    <mergeCell ref="E41:F41"/>
    <mergeCell ref="E42:F42"/>
    <mergeCell ref="E224:F224"/>
    <mergeCell ref="E43:F43"/>
    <mergeCell ref="E212:F212"/>
    <mergeCell ref="E218:G218"/>
    <mergeCell ref="E219:F219"/>
    <mergeCell ref="E220:F220"/>
    <mergeCell ref="E213:F213"/>
    <mergeCell ref="E214:F214"/>
    <mergeCell ref="E215:F215"/>
    <mergeCell ref="C4:H4"/>
    <mergeCell ref="C5:H5"/>
    <mergeCell ref="C8:D8"/>
    <mergeCell ref="A1:H1"/>
    <mergeCell ref="A2:H2"/>
  </mergeCells>
  <phoneticPr fontId="46" type="noConversion"/>
  <conditionalFormatting sqref="C36">
    <cfRule type="cellIs" dxfId="110" priority="95" stopIfTrue="1" operator="greaterThanOrEqual">
      <formula>0.8</formula>
    </cfRule>
    <cfRule type="cellIs" dxfId="109" priority="96" stopIfTrue="1" operator="between">
      <formula>0.5</formula>
      <formula>0.799</formula>
    </cfRule>
    <cfRule type="cellIs" dxfId="108" priority="97" stopIfTrue="1" operator="lessThan">
      <formula>0.5</formula>
    </cfRule>
  </conditionalFormatting>
  <conditionalFormatting sqref="C47">
    <cfRule type="cellIs" dxfId="107" priority="74" stopIfTrue="1" operator="greaterThanOrEqual">
      <formula>0.8</formula>
    </cfRule>
    <cfRule type="cellIs" dxfId="106" priority="75" stopIfTrue="1" operator="between">
      <formula>0.5</formula>
      <formula>0.799</formula>
    </cfRule>
    <cfRule type="cellIs" dxfId="105" priority="76" stopIfTrue="1" operator="lessThan">
      <formula>0.5</formula>
    </cfRule>
  </conditionalFormatting>
  <conditionalFormatting sqref="C214:C244">
    <cfRule type="containsText" dxfId="104" priority="54" operator="containsText" text="No">
      <formula>NOT(ISERROR(SEARCH("No",C214)))</formula>
    </cfRule>
  </conditionalFormatting>
  <conditionalFormatting sqref="C63">
    <cfRule type="cellIs" dxfId="103" priority="51" stopIfTrue="1" operator="greaterThanOrEqual">
      <formula>0.8</formula>
    </cfRule>
    <cfRule type="cellIs" dxfId="102" priority="52" stopIfTrue="1" operator="between">
      <formula>0.5</formula>
      <formula>0.799</formula>
    </cfRule>
    <cfRule type="cellIs" dxfId="101" priority="53" stopIfTrue="1" operator="lessThan">
      <formula>0.5</formula>
    </cfRule>
  </conditionalFormatting>
  <conditionalFormatting sqref="C76">
    <cfRule type="cellIs" dxfId="100" priority="48" stopIfTrue="1" operator="greaterThanOrEqual">
      <formula>0.8</formula>
    </cfRule>
    <cfRule type="cellIs" dxfId="99" priority="49" stopIfTrue="1" operator="between">
      <formula>0.5</formula>
      <formula>0.799</formula>
    </cfRule>
    <cfRule type="cellIs" dxfId="98" priority="50" stopIfTrue="1" operator="lessThan">
      <formula>0.5</formula>
    </cfRule>
  </conditionalFormatting>
  <conditionalFormatting sqref="C84">
    <cfRule type="cellIs" dxfId="97" priority="45" stopIfTrue="1" operator="greaterThanOrEqual">
      <formula>0.8</formula>
    </cfRule>
    <cfRule type="cellIs" dxfId="96" priority="46" stopIfTrue="1" operator="between">
      <formula>0.5</formula>
      <formula>0.799</formula>
    </cfRule>
    <cfRule type="cellIs" dxfId="95" priority="47" stopIfTrue="1" operator="lessThan">
      <formula>0.5</formula>
    </cfRule>
  </conditionalFormatting>
  <conditionalFormatting sqref="C93">
    <cfRule type="cellIs" dxfId="94" priority="42" stopIfTrue="1" operator="greaterThanOrEqual">
      <formula>0.8</formula>
    </cfRule>
    <cfRule type="cellIs" dxfId="93" priority="43" stopIfTrue="1" operator="between">
      <formula>0.5</formula>
      <formula>0.799</formula>
    </cfRule>
    <cfRule type="cellIs" dxfId="92" priority="44" stopIfTrue="1" operator="lessThan">
      <formula>0.5</formula>
    </cfRule>
  </conditionalFormatting>
  <conditionalFormatting sqref="C99">
    <cfRule type="cellIs" dxfId="91" priority="39" stopIfTrue="1" operator="greaterThanOrEqual">
      <formula>0.8</formula>
    </cfRule>
    <cfRule type="cellIs" dxfId="90" priority="40" stopIfTrue="1" operator="between">
      <formula>0.5</formula>
      <formula>0.799</formula>
    </cfRule>
    <cfRule type="cellIs" dxfId="89" priority="41" stopIfTrue="1" operator="lessThan">
      <formula>0.5</formula>
    </cfRule>
  </conditionalFormatting>
  <conditionalFormatting sqref="C117">
    <cfRule type="cellIs" dxfId="88" priority="36" stopIfTrue="1" operator="greaterThanOrEqual">
      <formula>0.8</formula>
    </cfRule>
    <cfRule type="cellIs" dxfId="87" priority="37" stopIfTrue="1" operator="between">
      <formula>0.5</formula>
      <formula>0.799</formula>
    </cfRule>
    <cfRule type="cellIs" dxfId="86" priority="38" stopIfTrue="1" operator="lessThan">
      <formula>0.5</formula>
    </cfRule>
  </conditionalFormatting>
  <conditionalFormatting sqref="C124">
    <cfRule type="cellIs" dxfId="85" priority="33" stopIfTrue="1" operator="greaterThanOrEqual">
      <formula>0.8</formula>
    </cfRule>
    <cfRule type="cellIs" dxfId="84" priority="34" stopIfTrue="1" operator="between">
      <formula>0.5</formula>
      <formula>0.799</formula>
    </cfRule>
    <cfRule type="cellIs" dxfId="83" priority="35" stopIfTrue="1" operator="lessThan">
      <formula>0.5</formula>
    </cfRule>
  </conditionalFormatting>
  <conditionalFormatting sqref="C131">
    <cfRule type="cellIs" dxfId="82" priority="30" stopIfTrue="1" operator="greaterThanOrEqual">
      <formula>0.8</formula>
    </cfRule>
    <cfRule type="cellIs" dxfId="81" priority="31" stopIfTrue="1" operator="between">
      <formula>0.5</formula>
      <formula>0.799</formula>
    </cfRule>
    <cfRule type="cellIs" dxfId="80" priority="32" stopIfTrue="1" operator="lessThan">
      <formula>0.5</formula>
    </cfRule>
  </conditionalFormatting>
  <conditionalFormatting sqref="C154">
    <cfRule type="cellIs" dxfId="79" priority="27" stopIfTrue="1" operator="greaterThanOrEqual">
      <formula>0.8</formula>
    </cfRule>
    <cfRule type="cellIs" dxfId="78" priority="28" stopIfTrue="1" operator="between">
      <formula>0.5</formula>
      <formula>0.799</formula>
    </cfRule>
    <cfRule type="cellIs" dxfId="77" priority="29" stopIfTrue="1" operator="lessThan">
      <formula>0.5</formula>
    </cfRule>
  </conditionalFormatting>
  <conditionalFormatting sqref="C162">
    <cfRule type="cellIs" dxfId="76" priority="24" stopIfTrue="1" operator="greaterThanOrEqual">
      <formula>0.8</formula>
    </cfRule>
    <cfRule type="cellIs" dxfId="75" priority="25" stopIfTrue="1" operator="between">
      <formula>0.5</formula>
      <formula>0.799</formula>
    </cfRule>
    <cfRule type="cellIs" dxfId="74" priority="26" stopIfTrue="1" operator="lessThan">
      <formula>0.5</formula>
    </cfRule>
  </conditionalFormatting>
  <conditionalFormatting sqref="C137">
    <cfRule type="cellIs" dxfId="73" priority="9" stopIfTrue="1" operator="greaterThanOrEqual">
      <formula>0.8</formula>
    </cfRule>
    <cfRule type="cellIs" dxfId="72" priority="10" stopIfTrue="1" operator="between">
      <formula>0.5</formula>
      <formula>0.799</formula>
    </cfRule>
    <cfRule type="cellIs" dxfId="71" priority="11" stopIfTrue="1" operator="lessThan">
      <formula>0.5</formula>
    </cfRule>
  </conditionalFormatting>
  <conditionalFormatting sqref="C174">
    <cfRule type="cellIs" dxfId="70" priority="18" stopIfTrue="1" operator="greaterThanOrEqual">
      <formula>0.8</formula>
    </cfRule>
    <cfRule type="cellIs" dxfId="69" priority="19" stopIfTrue="1" operator="between">
      <formula>0.5</formula>
      <formula>0.799</formula>
    </cfRule>
    <cfRule type="cellIs" dxfId="68" priority="20" stopIfTrue="1" operator="lessThan">
      <formula>0.5</formula>
    </cfRule>
  </conditionalFormatting>
  <conditionalFormatting sqref="C179">
    <cfRule type="cellIs" dxfId="67" priority="15" stopIfTrue="1" operator="greaterThanOrEqual">
      <formula>0.8</formula>
    </cfRule>
    <cfRule type="cellIs" dxfId="66" priority="16" stopIfTrue="1" operator="between">
      <formula>0.5</formula>
      <formula>0.799</formula>
    </cfRule>
    <cfRule type="cellIs" dxfId="65" priority="17" stopIfTrue="1" operator="lessThan">
      <formula>0.5</formula>
    </cfRule>
  </conditionalFormatting>
  <conditionalFormatting sqref="C107">
    <cfRule type="cellIs" dxfId="64" priority="12" stopIfTrue="1" operator="greaterThanOrEqual">
      <formula>0.8</formula>
    </cfRule>
    <cfRule type="cellIs" dxfId="63" priority="13" stopIfTrue="1" operator="between">
      <formula>0.5</formula>
      <formula>0.799</formula>
    </cfRule>
    <cfRule type="cellIs" dxfId="62" priority="14" stopIfTrue="1" operator="lessThan">
      <formula>0.5</formula>
    </cfRule>
  </conditionalFormatting>
  <conditionalFormatting sqref="D186:E210">
    <cfRule type="cellIs" dxfId="61" priority="5" operator="equal">
      <formula>"???"</formula>
    </cfRule>
    <cfRule type="cellIs" dxfId="60" priority="6" operator="equal">
      <formula>"NA"</formula>
    </cfRule>
    <cfRule type="cellIs" dxfId="59" priority="7" operator="between">
      <formula>0.5</formula>
      <formula>0.7999</formula>
    </cfRule>
    <cfRule type="cellIs" dxfId="58" priority="8" operator="lessThanOrEqual">
      <formula>0.5</formula>
    </cfRule>
    <cfRule type="cellIs" dxfId="57" priority="63" operator="greaterThanOrEqual">
      <formula>0.8</formula>
    </cfRule>
  </conditionalFormatting>
  <conditionalFormatting sqref="C186:C210">
    <cfRule type="cellIs" dxfId="56" priority="4" operator="equal">
      <formula>"Yes"</formula>
    </cfRule>
  </conditionalFormatting>
  <pageMargins left="0.25" right="0.25" top="0.75" bottom="0.75" header="0.3" footer="0.3"/>
  <pageSetup paperSize="9" scale="85" fitToHeight="4" orientation="portrait" r:id="rId1"/>
  <headerFooter>
    <oddFooter>&amp;C&amp;A -&amp;P&amp;R&amp;F</oddFooter>
  </headerFooter>
  <rowBreaks count="5" manualBreakCount="5">
    <brk id="46" max="7" man="1"/>
    <brk id="97" max="7" man="1"/>
    <brk id="135" max="7" man="1"/>
    <brk id="172" max="7" man="1"/>
    <brk id="211"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FF0000"/>
  </sheetPr>
  <dimension ref="A1:N159"/>
  <sheetViews>
    <sheetView zoomScale="90" zoomScaleNormal="90" zoomScaleSheetLayoutView="90" zoomScalePageLayoutView="80" workbookViewId="0"/>
  </sheetViews>
  <sheetFormatPr defaultColWidth="11.19921875" defaultRowHeight="13.8"/>
  <cols>
    <col min="1" max="1" width="5.296875" style="164" bestFit="1" customWidth="1"/>
    <col min="2" max="2" width="103.09765625" style="8" customWidth="1"/>
    <col min="3" max="3" width="9.69921875" style="15" customWidth="1"/>
    <col min="4" max="4" width="8.19921875" style="15" hidden="1" customWidth="1"/>
    <col min="5" max="5" width="11.5" style="190" customWidth="1"/>
    <col min="6" max="6" width="3.19921875" style="15" hidden="1" customWidth="1"/>
    <col min="7" max="7" width="10.19921875" style="15" bestFit="1" customWidth="1"/>
    <col min="8" max="8" width="7.296875" style="346" bestFit="1" customWidth="1"/>
    <col min="9" max="16384" width="11.19921875" style="5"/>
  </cols>
  <sheetData>
    <row r="1" spans="1:9" ht="15.6">
      <c r="B1" s="342" t="str">
        <f>Language!A283</f>
        <v>FLAGS</v>
      </c>
      <c r="C1" s="348"/>
      <c r="D1" s="161"/>
      <c r="E1" s="189"/>
      <c r="F1" s="161"/>
      <c r="G1" s="161"/>
      <c r="H1" s="345"/>
      <c r="I1" s="65"/>
    </row>
    <row r="2" spans="1:9" ht="27.6" customHeight="1">
      <c r="B2" s="409" t="str">
        <f>Language!A284</f>
        <v>Red Flags represent practices that may put patients or staff at risk and should be corrected immediately</v>
      </c>
      <c r="C2" s="161"/>
      <c r="D2" s="161"/>
      <c r="E2" s="189"/>
      <c r="F2" s="161"/>
      <c r="G2" s="161"/>
      <c r="H2" s="345"/>
      <c r="I2" s="65"/>
    </row>
    <row r="3" spans="1:9">
      <c r="B3" s="45" t="str">
        <f>Language!A287</f>
        <v>Red Flags</v>
      </c>
      <c r="C3" s="277" t="str">
        <f>Language!A288</f>
        <v>Response</v>
      </c>
      <c r="D3" s="277" t="str">
        <f>Language!A289</f>
        <v>Trigger</v>
      </c>
      <c r="E3" s="189"/>
      <c r="F3" s="161"/>
      <c r="G3" s="277" t="str">
        <f>Language!A290</f>
        <v>Module</v>
      </c>
      <c r="H3" s="277" t="str">
        <f>Language!A291</f>
        <v>Question</v>
      </c>
      <c r="I3" s="65"/>
    </row>
    <row r="4" spans="1:9">
      <c r="A4" s="384"/>
      <c r="B4" s="202" t="str">
        <f>Language!A292</f>
        <v>Indicate whether the lab has the following FUNCTIONAL pieces of equipment.</v>
      </c>
    </row>
    <row r="5" spans="1:9">
      <c r="A5" s="89" t="s">
        <v>1644</v>
      </c>
      <c r="B5" s="256" t="str">
        <f>'Facility 1'!B40</f>
        <v>Biological Safety Cabinet Class IIA</v>
      </c>
      <c r="C5" s="191">
        <f>'Facility 1'!C40</f>
        <v>0</v>
      </c>
      <c r="D5" s="89" t="s">
        <v>4892</v>
      </c>
      <c r="E5" s="376" t="str">
        <f>IF(C5="No","Red Flag","'")</f>
        <v>'</v>
      </c>
      <c r="F5" s="89">
        <f t="shared" ref="F5:F72" si="0">IF(E5="Red Flag",1,0)</f>
        <v>0</v>
      </c>
      <c r="G5" s="377" t="s">
        <v>2383</v>
      </c>
      <c r="H5" s="378" t="s">
        <v>364</v>
      </c>
    </row>
    <row r="6" spans="1:9">
      <c r="A6" s="89"/>
      <c r="B6" s="202" t="str">
        <f>Language!A293</f>
        <v>Has calibration been performed within the last year?</v>
      </c>
      <c r="C6" s="191"/>
      <c r="D6" s="89"/>
      <c r="E6" s="371"/>
      <c r="F6" s="371"/>
      <c r="G6" s="371"/>
      <c r="H6" s="379"/>
    </row>
    <row r="7" spans="1:9">
      <c r="A7" s="89" t="s">
        <v>1983</v>
      </c>
      <c r="B7" s="256" t="str">
        <f>'Facility 1'!B64</f>
        <v>Biological Safety Cabinet Class IIA</v>
      </c>
      <c r="C7" s="191">
        <f>'Facility 1'!C64</f>
        <v>0</v>
      </c>
      <c r="D7" s="89" t="s">
        <v>4892</v>
      </c>
      <c r="E7" s="376" t="str">
        <f>IF(C7="No","Red Flag","'")</f>
        <v>'</v>
      </c>
      <c r="F7" s="89">
        <f t="shared" si="0"/>
        <v>0</v>
      </c>
      <c r="G7" s="377" t="s">
        <v>2383</v>
      </c>
      <c r="H7" s="378" t="s">
        <v>382</v>
      </c>
    </row>
    <row r="8" spans="1:9">
      <c r="A8" s="89" t="s">
        <v>1645</v>
      </c>
      <c r="B8" s="172" t="str">
        <f>'LIS 2'!B54</f>
        <v>If the LIS software automatically interprets zone sizes or MICs, are the breakpoints updated annually?</v>
      </c>
      <c r="C8" s="191">
        <f>'LIS 2'!F54</f>
        <v>0</v>
      </c>
      <c r="D8" s="89" t="s">
        <v>4892</v>
      </c>
      <c r="E8" s="376" t="str">
        <f>IF(C8="No","Red Flag","'")</f>
        <v>'</v>
      </c>
      <c r="F8" s="89">
        <f t="shared" ref="F8:F11" si="1">IF(E8="Red Flag",1,0)</f>
        <v>0</v>
      </c>
      <c r="G8" s="377" t="s">
        <v>2382</v>
      </c>
      <c r="H8" s="379" t="s">
        <v>419</v>
      </c>
    </row>
    <row r="9" spans="1:9">
      <c r="A9" s="89" t="s">
        <v>1984</v>
      </c>
      <c r="B9" s="172" t="str">
        <f>'LIS 2'!B55</f>
        <v xml:space="preserve">If the LIS software automatically interprets zone sizes or MICs, are the breakpoints up to date today? </v>
      </c>
      <c r="C9" s="191">
        <f>'LIS 2'!F55</f>
        <v>0</v>
      </c>
      <c r="D9" s="89" t="s">
        <v>4892</v>
      </c>
      <c r="E9" s="376" t="str">
        <f>IF(C9="No","Red Flag",IF(C9="Don't Know","Red Flag","'"))</f>
        <v>'</v>
      </c>
      <c r="F9" s="89">
        <f t="shared" si="1"/>
        <v>0</v>
      </c>
      <c r="G9" s="377" t="s">
        <v>2382</v>
      </c>
      <c r="H9" s="379" t="s">
        <v>420</v>
      </c>
    </row>
    <row r="10" spans="1:9">
      <c r="A10" s="89" t="s">
        <v>1985</v>
      </c>
      <c r="B10" s="172" t="str">
        <f>'Data Mgmt 3'!B9</f>
        <v>Does the laboratory use the same patient ID numbers assigned by the hospital and/or clinics?</v>
      </c>
      <c r="C10" s="191">
        <f>'Data Mgmt 3'!F9</f>
        <v>0</v>
      </c>
      <c r="D10" s="89" t="s">
        <v>4892</v>
      </c>
      <c r="E10" s="376" t="str">
        <f>IF(C10="No","Red Flag","'")</f>
        <v>'</v>
      </c>
      <c r="F10" s="89">
        <f t="shared" si="1"/>
        <v>0</v>
      </c>
      <c r="G10" s="377" t="s">
        <v>2384</v>
      </c>
      <c r="H10" s="379" t="s">
        <v>425</v>
      </c>
    </row>
    <row r="11" spans="1:9">
      <c r="A11" s="89" t="s">
        <v>1986</v>
      </c>
      <c r="B11" s="172" t="str">
        <f>'Data Mgmt 3'!B10</f>
        <v>Does the laboratory assign a unique specimen ID number to each specimen received in the lab?</v>
      </c>
      <c r="C11" s="191">
        <f>'Data Mgmt 3'!F10</f>
        <v>0</v>
      </c>
      <c r="D11" s="89" t="s">
        <v>4892</v>
      </c>
      <c r="E11" s="376" t="str">
        <f>IF(C11="No","Red Flag","'")</f>
        <v>'</v>
      </c>
      <c r="F11" s="89">
        <f t="shared" si="1"/>
        <v>0</v>
      </c>
      <c r="G11" s="377" t="s">
        <v>2384</v>
      </c>
      <c r="H11" s="379" t="s">
        <v>426</v>
      </c>
    </row>
    <row r="12" spans="1:9">
      <c r="A12" s="89" t="s">
        <v>1987</v>
      </c>
      <c r="B12" s="169" t="str">
        <f>'Data Mgmt 3'!B11</f>
        <v>Are specimen numbers assigned in such a way that no two specimens are given the same number during one year?</v>
      </c>
      <c r="C12" s="191">
        <f>'Data Mgmt 3'!C11</f>
        <v>0</v>
      </c>
      <c r="D12" s="89" t="s">
        <v>4892</v>
      </c>
      <c r="E12" s="376" t="str">
        <f>IF(C12="No","Red Flag","'")</f>
        <v>'</v>
      </c>
      <c r="F12" s="89">
        <f t="shared" si="0"/>
        <v>0</v>
      </c>
      <c r="G12" s="377" t="s">
        <v>2384</v>
      </c>
      <c r="H12" s="379" t="s">
        <v>429</v>
      </c>
    </row>
    <row r="13" spans="1:9">
      <c r="A13" s="89" t="s">
        <v>2357</v>
      </c>
      <c r="B13" s="169" t="str">
        <f>'Data Mgmt 3'!B81</f>
        <v xml:space="preserve">What method is used to back up the lab’s electronic patient records? </v>
      </c>
      <c r="C13" s="191">
        <f>'Data Mgmt 3'!C81</f>
        <v>0</v>
      </c>
      <c r="D13" s="89" t="s">
        <v>4895</v>
      </c>
      <c r="E13" s="376" t="str">
        <f>IF(C13=3,"Red Flag",IF(C13=4,"Red Flag","'"))</f>
        <v>'</v>
      </c>
      <c r="F13" s="89">
        <f t="shared" si="0"/>
        <v>0</v>
      </c>
      <c r="G13" s="377" t="s">
        <v>2384</v>
      </c>
      <c r="H13" s="379" t="s">
        <v>1838</v>
      </c>
    </row>
    <row r="14" spans="1:9">
      <c r="A14" s="89" t="s">
        <v>1646</v>
      </c>
      <c r="B14" s="169" t="str">
        <f>'QA 4'!B41</f>
        <v>Are patient results reported if QC of media, ID method, or AST method was not performed?</v>
      </c>
      <c r="C14" s="191">
        <f>'QA 4'!C41</f>
        <v>0</v>
      </c>
      <c r="D14" s="89" t="s">
        <v>4894</v>
      </c>
      <c r="E14" s="376" t="str">
        <f>IF(C14="Yes","Red Flag","'")</f>
        <v>'</v>
      </c>
      <c r="F14" s="89">
        <f t="shared" si="0"/>
        <v>0</v>
      </c>
      <c r="G14" s="377" t="s">
        <v>2385</v>
      </c>
      <c r="H14" s="379" t="s">
        <v>1076</v>
      </c>
    </row>
    <row r="15" spans="1:9" ht="27.6" customHeight="1">
      <c r="A15" s="89" t="s">
        <v>1990</v>
      </c>
      <c r="B15" s="169" t="str">
        <f>'QA 4'!B42</f>
        <v>Are patient results reported if QC of media, ID method, or AST method failed to produce acceptable results?</v>
      </c>
      <c r="C15" s="191">
        <f>'QA 4'!C42</f>
        <v>0</v>
      </c>
      <c r="D15" s="89" t="s">
        <v>4894</v>
      </c>
      <c r="E15" s="376" t="str">
        <f>IF(C15="Yes","Red Flag","'")</f>
        <v>'</v>
      </c>
      <c r="F15" s="89">
        <f t="shared" si="0"/>
        <v>0</v>
      </c>
      <c r="G15" s="377" t="s">
        <v>2385</v>
      </c>
      <c r="H15" s="379" t="s">
        <v>1077</v>
      </c>
    </row>
    <row r="16" spans="1:9" ht="27.6" customHeight="1">
      <c r="A16" s="89" t="s">
        <v>1647</v>
      </c>
      <c r="B16" s="169" t="str">
        <f>'AST QC 7'!B36</f>
        <v>Is antibiotic disk QC performed before placing newly received lot numbers/shipments into use? (Review QC records to confirm)</v>
      </c>
      <c r="C16" s="191">
        <f>'AST QC 7'!C36</f>
        <v>0</v>
      </c>
      <c r="D16" s="89" t="s">
        <v>4892</v>
      </c>
      <c r="E16" s="376" t="str">
        <f>IF(C16="No","Red Flag","'")</f>
        <v>'</v>
      </c>
      <c r="F16" s="89">
        <f t="shared" si="0"/>
        <v>0</v>
      </c>
      <c r="G16" s="377" t="s">
        <v>1616</v>
      </c>
      <c r="H16" s="379" t="s">
        <v>545</v>
      </c>
    </row>
    <row r="17" spans="1:8" ht="27.6" customHeight="1">
      <c r="A17" s="89" t="s">
        <v>1991</v>
      </c>
      <c r="B17" s="169" t="str">
        <f>'AST QC 7'!B41</f>
        <v>Not including new lot QC, how often is antibiotic disk QC performed? (Confirm by reviewing QC records; go back several months)</v>
      </c>
      <c r="C17" s="191">
        <f>'AST QC 7'!C41</f>
        <v>0</v>
      </c>
      <c r="D17" s="89">
        <v>5</v>
      </c>
      <c r="E17" s="376" t="str">
        <f>IF(C17=5,"Red Flag","'")</f>
        <v>'</v>
      </c>
      <c r="F17" s="89">
        <f t="shared" si="0"/>
        <v>0</v>
      </c>
      <c r="G17" s="377" t="s">
        <v>1616</v>
      </c>
      <c r="H17" s="379" t="s">
        <v>547</v>
      </c>
    </row>
    <row r="18" spans="1:8" ht="27.6" customHeight="1">
      <c r="A18" s="89" t="s">
        <v>1648</v>
      </c>
      <c r="B18" s="169" t="str">
        <f>'AST QC 7'!B53</f>
        <v>Is gradient strip QC performed before placing new lot numbers/shipments into use? (Review QC records to confirm)</v>
      </c>
      <c r="C18" s="191">
        <f>'AST QC 7'!C53</f>
        <v>0</v>
      </c>
      <c r="D18" s="89" t="s">
        <v>4892</v>
      </c>
      <c r="E18" s="376" t="str">
        <f>IF(C18="No","Red Flag","'")</f>
        <v>'</v>
      </c>
      <c r="F18" s="89">
        <f t="shared" si="0"/>
        <v>0</v>
      </c>
      <c r="G18" s="377" t="s">
        <v>1616</v>
      </c>
      <c r="H18" s="379" t="s">
        <v>554</v>
      </c>
    </row>
    <row r="19" spans="1:8" ht="27.6" customHeight="1">
      <c r="A19" s="89" t="s">
        <v>1649</v>
      </c>
      <c r="B19" s="169" t="str">
        <f>'AST QC 7'!B55</f>
        <v>Not including new lot QC, how often is antibiotic strip QC performed? (Confirm by reviewing QC records; go back several months)</v>
      </c>
      <c r="C19" s="191">
        <f>'AST QC 7'!C55</f>
        <v>0</v>
      </c>
      <c r="D19" s="89">
        <v>5</v>
      </c>
      <c r="E19" s="376" t="str">
        <f>IF(C19=5,"Red Flag","'")</f>
        <v>'</v>
      </c>
      <c r="F19" s="89">
        <f t="shared" si="0"/>
        <v>0</v>
      </c>
      <c r="G19" s="377" t="s">
        <v>1616</v>
      </c>
      <c r="H19" s="379" t="s">
        <v>556</v>
      </c>
    </row>
    <row r="20" spans="1:8" ht="27.6" customHeight="1">
      <c r="A20" s="89" t="s">
        <v>1650</v>
      </c>
      <c r="B20" s="169" t="str">
        <f>'AST QC 7'!B68</f>
        <v>Is QC of the antibiotic cards/trays performed before placing new lot numbers/shipments into use? (Review QC records to confirm)</v>
      </c>
      <c r="C20" s="191">
        <f>'AST QC 7'!C68</f>
        <v>0</v>
      </c>
      <c r="D20" s="89" t="s">
        <v>4892</v>
      </c>
      <c r="E20" s="376" t="str">
        <f>IF(C20="No","Red Flag","'")</f>
        <v>'</v>
      </c>
      <c r="F20" s="89">
        <f t="shared" si="0"/>
        <v>0</v>
      </c>
      <c r="G20" s="377" t="s">
        <v>1616</v>
      </c>
      <c r="H20" s="379" t="s">
        <v>564</v>
      </c>
    </row>
    <row r="21" spans="1:8" ht="27.6" customHeight="1">
      <c r="A21" s="89" t="s">
        <v>1651</v>
      </c>
      <c r="B21" s="169" t="str">
        <f>'AST QC 7'!B70</f>
        <v>Not including new lot QC, how often is antibiotic card/tray QC performed? (Confirm by reviewing QC records; go back several months)</v>
      </c>
      <c r="C21" s="191">
        <f>'AST QC 7'!C70</f>
        <v>0</v>
      </c>
      <c r="D21" s="89">
        <v>5</v>
      </c>
      <c r="E21" s="376" t="str">
        <f>IF(C21=5,"Red Flag","'")</f>
        <v>'</v>
      </c>
      <c r="F21" s="89">
        <f t="shared" si="0"/>
        <v>0</v>
      </c>
      <c r="G21" s="377" t="s">
        <v>1616</v>
      </c>
      <c r="H21" s="379" t="s">
        <v>566</v>
      </c>
    </row>
    <row r="22" spans="1:8" ht="27.6" customHeight="1">
      <c r="A22" s="89" t="s">
        <v>1652</v>
      </c>
      <c r="B22" s="169" t="str">
        <f>'Specimen 8'!B5</f>
        <v>Does the lab enforce a two-identifier system? (e.g., both patient name and a numeric identifier must be present on the requisition and on the specimen).</v>
      </c>
      <c r="C22" s="191">
        <f>'Specimen 8'!C5</f>
        <v>0</v>
      </c>
      <c r="D22" s="89" t="s">
        <v>4892</v>
      </c>
      <c r="E22" s="376" t="str">
        <f>IF(C22="No","Red Flag","'")</f>
        <v>'</v>
      </c>
      <c r="F22" s="89">
        <f t="shared" si="0"/>
        <v>0</v>
      </c>
      <c r="G22" s="377" t="s">
        <v>2386</v>
      </c>
      <c r="H22" s="379" t="s">
        <v>572</v>
      </c>
    </row>
    <row r="23" spans="1:8">
      <c r="A23" s="89" t="s">
        <v>1653</v>
      </c>
      <c r="B23" s="169" t="str">
        <f>'Specimen 8'!B29</f>
        <v>Are unlabeled specimens rejected?</v>
      </c>
      <c r="C23" s="191">
        <f>'Specimen 8'!C29</f>
        <v>0</v>
      </c>
      <c r="D23" s="89" t="s">
        <v>4892</v>
      </c>
      <c r="E23" s="376" t="str">
        <f>IF(C23="No","Red Flag","'")</f>
        <v>'</v>
      </c>
      <c r="F23" s="89">
        <f t="shared" si="0"/>
        <v>0</v>
      </c>
      <c r="G23" s="377" t="s">
        <v>2386</v>
      </c>
      <c r="H23" s="379" t="s">
        <v>591</v>
      </c>
    </row>
    <row r="24" spans="1:8">
      <c r="A24" s="89" t="s">
        <v>1654</v>
      </c>
      <c r="B24" s="169" t="str">
        <f>'Specimen 8'!B30</f>
        <v>Are mislabeled specimens rejected?</v>
      </c>
      <c r="C24" s="191">
        <f>'Specimen 8'!C30</f>
        <v>0</v>
      </c>
      <c r="D24" s="89" t="s">
        <v>4892</v>
      </c>
      <c r="E24" s="376" t="str">
        <f>IF(C24="No","Red Flag","'")</f>
        <v>'</v>
      </c>
      <c r="F24" s="89">
        <f t="shared" si="0"/>
        <v>0</v>
      </c>
      <c r="G24" s="377" t="s">
        <v>2386</v>
      </c>
      <c r="H24" s="379" t="s">
        <v>592</v>
      </c>
    </row>
    <row r="25" spans="1:8" ht="27.6" customHeight="1">
      <c r="A25" s="89" t="s">
        <v>1655</v>
      </c>
      <c r="B25" s="169" t="str">
        <f>'Specimen 8'!B36</f>
        <v>When specimens are rejected, does the lab notify the ward or clinic immediately so that a new specimen may be collected?</v>
      </c>
      <c r="C25" s="191">
        <f>'Specimen 8'!C36</f>
        <v>0</v>
      </c>
      <c r="D25" s="89" t="s">
        <v>4892</v>
      </c>
      <c r="E25" s="376" t="str">
        <f>IF(C25="No","Red Flag","'")</f>
        <v>'</v>
      </c>
      <c r="F25" s="89">
        <f t="shared" si="0"/>
        <v>0</v>
      </c>
      <c r="G25" s="377" t="s">
        <v>2386</v>
      </c>
      <c r="H25" s="379" t="s">
        <v>598</v>
      </c>
    </row>
    <row r="26" spans="1:8">
      <c r="A26" s="89" t="s">
        <v>1656</v>
      </c>
      <c r="B26" s="169" t="str">
        <f>'Processing 9'!B7</f>
        <v>If the Gram stain from the bottle is positive, does the lab call the result to the physician immediately?</v>
      </c>
      <c r="C26" s="191">
        <f>'Processing 9'!C7</f>
        <v>0</v>
      </c>
      <c r="D26" s="89" t="s">
        <v>4892</v>
      </c>
      <c r="E26" s="376" t="str">
        <f t="shared" ref="E26:E27" si="2">IF(C26="No","Red Flag","'")</f>
        <v>'</v>
      </c>
      <c r="F26" s="89">
        <f t="shared" si="0"/>
        <v>0</v>
      </c>
      <c r="G26" s="377" t="s">
        <v>2387</v>
      </c>
      <c r="H26" s="379" t="s">
        <v>621</v>
      </c>
    </row>
    <row r="27" spans="1:8" ht="27.6" customHeight="1">
      <c r="A27" s="89" t="s">
        <v>1657</v>
      </c>
      <c r="B27" s="169" t="str">
        <f>'Processing 9'!B8</f>
        <v xml:space="preserve">When a positive blood culture broth is subcultured, is a chocolate plate included to ensure recovery of fastidious organisms? </v>
      </c>
      <c r="C27" s="191">
        <f>'Processing 9'!C8</f>
        <v>0</v>
      </c>
      <c r="D27" s="89" t="s">
        <v>4892</v>
      </c>
      <c r="E27" s="376" t="str">
        <f t="shared" si="2"/>
        <v>'</v>
      </c>
      <c r="F27" s="89">
        <f t="shared" si="0"/>
        <v>0</v>
      </c>
      <c r="G27" s="377" t="s">
        <v>2387</v>
      </c>
      <c r="H27" s="379" t="s">
        <v>622</v>
      </c>
    </row>
    <row r="28" spans="1:8">
      <c r="A28" s="89" t="s">
        <v>1658</v>
      </c>
      <c r="B28" s="169" t="str">
        <f>'Processing 9'!B9</f>
        <v>Does the lab inoculate more than one patient sample on the same petri dish?</v>
      </c>
      <c r="C28" s="191">
        <f>'Processing 9'!C9</f>
        <v>0</v>
      </c>
      <c r="D28" s="89" t="s">
        <v>4892</v>
      </c>
      <c r="E28" s="376" t="str">
        <f>IF(C28="Yes","Red Flag","'")</f>
        <v>'</v>
      </c>
      <c r="F28" s="89">
        <f t="shared" si="0"/>
        <v>0</v>
      </c>
      <c r="G28" s="377" t="s">
        <v>2387</v>
      </c>
      <c r="H28" s="379" t="s">
        <v>623</v>
      </c>
    </row>
    <row r="29" spans="1:8">
      <c r="A29" s="89" t="s">
        <v>1659</v>
      </c>
      <c r="B29" s="169" t="str">
        <f>'Processing 9'!B12</f>
        <v>Does the lab perform AST on organisms that are possible contaminants?</v>
      </c>
      <c r="C29" s="191">
        <f>'Processing 9'!C12</f>
        <v>0</v>
      </c>
      <c r="D29" s="89" t="s">
        <v>4894</v>
      </c>
      <c r="E29" s="376" t="str">
        <f>IF(C29="Yes","Red Flag","'")</f>
        <v>'</v>
      </c>
      <c r="F29" s="89">
        <f t="shared" si="0"/>
        <v>0</v>
      </c>
      <c r="G29" s="377" t="s">
        <v>2387</v>
      </c>
      <c r="H29" s="379" t="s">
        <v>625</v>
      </c>
    </row>
    <row r="30" spans="1:8">
      <c r="A30" s="89" t="s">
        <v>1660</v>
      </c>
      <c r="B30" s="169" t="str">
        <f>'Processing 9'!B37</f>
        <v>Does the lab inoculate more than one patient sample on the same petri dish?</v>
      </c>
      <c r="C30" s="191">
        <f>'Processing 9'!C37</f>
        <v>0</v>
      </c>
      <c r="D30" s="89" t="s">
        <v>4894</v>
      </c>
      <c r="E30" s="376" t="str">
        <f>IF(C30="Yes","Red Flag","'")</f>
        <v>'</v>
      </c>
      <c r="F30" s="89">
        <f t="shared" si="0"/>
        <v>0</v>
      </c>
      <c r="G30" s="377" t="s">
        <v>2387</v>
      </c>
      <c r="H30" s="379" t="s">
        <v>1185</v>
      </c>
    </row>
    <row r="31" spans="1:8">
      <c r="A31" s="89" t="s">
        <v>1661</v>
      </c>
      <c r="B31" s="169" t="str">
        <f>'Processing 9'!B52</f>
        <v>Does the lab inoculate more than one patient sample on the same petri dish?</v>
      </c>
      <c r="C31" s="191">
        <f>'Processing 9'!C52</f>
        <v>0</v>
      </c>
      <c r="D31" s="89" t="s">
        <v>4894</v>
      </c>
      <c r="E31" s="376" t="str">
        <f>IF(C31="Yes","Red Flag","'")</f>
        <v>'</v>
      </c>
      <c r="F31" s="89">
        <f t="shared" si="0"/>
        <v>0</v>
      </c>
      <c r="G31" s="377" t="s">
        <v>2387</v>
      </c>
      <c r="H31" s="379" t="s">
        <v>4896</v>
      </c>
    </row>
    <row r="32" spans="1:8">
      <c r="A32" s="89" t="s">
        <v>1662</v>
      </c>
      <c r="B32" s="169" t="str">
        <f>'Identification 10'!B18</f>
        <v>Is catalase testing performed prior to coagulase testing on suspected Staphylococcus isolates?</v>
      </c>
      <c r="C32" s="191">
        <f>'Identification 10'!C18</f>
        <v>0</v>
      </c>
      <c r="D32" s="89" t="s">
        <v>4897</v>
      </c>
      <c r="E32" s="376" t="str">
        <f>IF(C32=2,"Red Flag",IF(C32=3,"Red Flag","'"))</f>
        <v>'</v>
      </c>
      <c r="F32" s="89">
        <f t="shared" si="0"/>
        <v>0</v>
      </c>
      <c r="G32" s="377" t="s">
        <v>2388</v>
      </c>
      <c r="H32" s="379" t="s">
        <v>1194</v>
      </c>
    </row>
    <row r="33" spans="1:8">
      <c r="A33" s="89" t="s">
        <v>1663</v>
      </c>
      <c r="B33" s="169" t="str">
        <f>'Identification 10'!B29</f>
        <v>Are negative slide coagulase results confirmed with a tube coagulase test before being reported?</v>
      </c>
      <c r="C33" s="191">
        <f>'Identification 10'!C29</f>
        <v>0</v>
      </c>
      <c r="D33" s="89" t="s">
        <v>4897</v>
      </c>
      <c r="E33" s="376" t="str">
        <f>IF(C33=2,"Red Flag",IF(C33=3,"Red Flag","'"))</f>
        <v>'</v>
      </c>
      <c r="F33" s="89">
        <f t="shared" si="0"/>
        <v>0</v>
      </c>
      <c r="G33" s="377" t="s">
        <v>2388</v>
      </c>
      <c r="H33" s="379" t="s">
        <v>1202</v>
      </c>
    </row>
    <row r="34" spans="1:8" ht="27.6" customHeight="1">
      <c r="A34" s="89" t="s">
        <v>1664</v>
      </c>
      <c r="B34" s="169" t="str">
        <f>'Identification 10'!B79</f>
        <v>If the Optochin result is equivocal (9-13mm), is bile solubility or other additional testing performed to confirm the ID?</v>
      </c>
      <c r="C34" s="191">
        <f>'Identification 10'!C79</f>
        <v>0</v>
      </c>
      <c r="D34" s="89" t="s">
        <v>4892</v>
      </c>
      <c r="E34" s="376" t="str">
        <f t="shared" ref="E34:E36" si="3">IF(C34="No","Red Flag","'")</f>
        <v>'</v>
      </c>
      <c r="F34" s="89">
        <f t="shared" si="0"/>
        <v>0</v>
      </c>
      <c r="G34" s="377" t="s">
        <v>2388</v>
      </c>
      <c r="H34" s="379" t="s">
        <v>1240</v>
      </c>
    </row>
    <row r="35" spans="1:8" ht="41.4" customHeight="1">
      <c r="A35" s="89" t="s">
        <v>1665</v>
      </c>
      <c r="B35" s="169" t="str">
        <f>'Identification 10'!B218</f>
        <v>When an ID result (bionumber) does not reach the threshold for an acceptable identification, is there evidence that appropriate action is taken, such as repeating the test by another method or performing additional biochemical tests?</v>
      </c>
      <c r="C35" s="191">
        <f>'Identification 10'!C218</f>
        <v>0</v>
      </c>
      <c r="D35" s="89" t="s">
        <v>4892</v>
      </c>
      <c r="E35" s="376" t="str">
        <f t="shared" ref="E35" si="4">IF(C35="No","Red Flag","'")</f>
        <v>'</v>
      </c>
      <c r="F35" s="89">
        <f>IF(E35="Red Flag",1,0)</f>
        <v>0</v>
      </c>
      <c r="G35" s="377" t="s">
        <v>2388</v>
      </c>
      <c r="H35" s="379" t="s">
        <v>1353</v>
      </c>
    </row>
    <row r="36" spans="1:8" ht="27.6" customHeight="1">
      <c r="A36" s="89" t="s">
        <v>1666</v>
      </c>
      <c r="B36" s="169" t="str">
        <f>'Identification 10'!B232</f>
        <v>When the instrument software flags an ID result as questionable, is there evidence that appropriate action is taken, such as repeating the test by another method or performing additional biochemical tests?</v>
      </c>
      <c r="C36" s="380">
        <f>'Identification 10'!C232</f>
        <v>0</v>
      </c>
      <c r="D36" s="89" t="s">
        <v>4892</v>
      </c>
      <c r="E36" s="376" t="str">
        <f t="shared" si="3"/>
        <v>'</v>
      </c>
      <c r="F36" s="89">
        <f t="shared" si="0"/>
        <v>0</v>
      </c>
      <c r="G36" s="377" t="s">
        <v>2388</v>
      </c>
      <c r="H36" s="379" t="s">
        <v>2321</v>
      </c>
    </row>
    <row r="37" spans="1:8">
      <c r="A37" s="89" t="s">
        <v>1667</v>
      </c>
      <c r="B37" s="172" t="str">
        <f>'Basic AST 11'!B20</f>
        <v>Does the lab ever intentionally mix two different organisms in the same inoculum for AST?</v>
      </c>
      <c r="C37" s="380">
        <f>'Basic AST 11'!C20</f>
        <v>0</v>
      </c>
      <c r="D37" s="89" t="s">
        <v>4894</v>
      </c>
      <c r="E37" s="376" t="str">
        <f>IF(C37="Yes","Red Flag","'")</f>
        <v>'</v>
      </c>
      <c r="F37" s="89">
        <f t="shared" si="0"/>
        <v>0</v>
      </c>
      <c r="G37" s="377" t="s">
        <v>2389</v>
      </c>
      <c r="H37" s="379" t="s">
        <v>1369</v>
      </c>
    </row>
    <row r="38" spans="1:8" ht="27.6" customHeight="1">
      <c r="A38" s="89" t="s">
        <v>1668</v>
      </c>
      <c r="B38" s="172" t="str">
        <f>'Basic AST 11'!B65</f>
        <v>Is there evidence that appropriate actions are taken when the AST instrument software flags an AST result as questionable (such as checking for purity or repeating the test by another method)?</v>
      </c>
      <c r="C38" s="380">
        <f>'Basic AST 11'!C65</f>
        <v>0</v>
      </c>
      <c r="D38" s="89" t="s">
        <v>4892</v>
      </c>
      <c r="E38" s="376" t="str">
        <f t="shared" ref="E38:E40" si="5">IF(C38="No","Red Flag","'")</f>
        <v>'</v>
      </c>
      <c r="F38" s="89">
        <f t="shared" si="0"/>
        <v>0</v>
      </c>
      <c r="G38" s="377" t="s">
        <v>2389</v>
      </c>
      <c r="H38" s="379" t="s">
        <v>1402</v>
      </c>
    </row>
    <row r="39" spans="1:8">
      <c r="A39" s="89" t="s">
        <v>1992</v>
      </c>
      <c r="B39" s="172" t="str">
        <f>'Basic AST 11'!B76</f>
        <v xml:space="preserve">Is there evidence of such actions being taken? </v>
      </c>
      <c r="C39" s="380">
        <f>'Basic AST 11'!C76</f>
        <v>0</v>
      </c>
      <c r="D39" s="89" t="s">
        <v>4892</v>
      </c>
      <c r="E39" s="376" t="str">
        <f t="shared" si="5"/>
        <v>'</v>
      </c>
      <c r="F39" s="89">
        <f t="shared" si="0"/>
        <v>0</v>
      </c>
      <c r="G39" s="377" t="s">
        <v>2389</v>
      </c>
      <c r="H39" s="379" t="s">
        <v>1408</v>
      </c>
    </row>
    <row r="40" spans="1:8" ht="27.6" customHeight="1">
      <c r="A40" s="89" t="s">
        <v>1993</v>
      </c>
      <c r="B40" s="172" t="str">
        <f>'Basic AST 11'!B93</f>
        <v>Look at the cefotaxime disks currently in use. Does the drug concentration correspond correctly to the standard the lab uses? (CLSI breakpoints require 30µg disks, EUCAST breakpoints require 5µg disks).</v>
      </c>
      <c r="C40" s="380">
        <f>'Basic AST 11'!C93</f>
        <v>0</v>
      </c>
      <c r="D40" s="89" t="s">
        <v>4892</v>
      </c>
      <c r="E40" s="376" t="str">
        <f t="shared" si="5"/>
        <v>'</v>
      </c>
      <c r="F40" s="89">
        <f t="shared" si="0"/>
        <v>0</v>
      </c>
      <c r="G40" s="377" t="s">
        <v>2389</v>
      </c>
      <c r="H40" s="379" t="s">
        <v>1418</v>
      </c>
    </row>
    <row r="41" spans="1:8" ht="27.6" customHeight="1">
      <c r="A41" s="89" t="s">
        <v>1994</v>
      </c>
      <c r="B41" s="172" t="str">
        <f>'Basic AST 11'!B94</f>
        <v>Look at the ceftazidime disks currently in use. Does the drug concentration correspond correctly to the standard in use? (CLSI breakpoints require 30µg disks, EUCAST breakpoints require 10µg)</v>
      </c>
      <c r="C41" s="380">
        <f>'Basic AST 11'!C94</f>
        <v>0</v>
      </c>
      <c r="D41" s="89" t="s">
        <v>4892</v>
      </c>
      <c r="E41" s="376" t="str">
        <f t="shared" ref="E41:E42" si="6">IF(C41="No","Red Flag","'")</f>
        <v>'</v>
      </c>
      <c r="F41" s="89">
        <f t="shared" si="0"/>
        <v>0</v>
      </c>
      <c r="G41" s="377" t="s">
        <v>2389</v>
      </c>
      <c r="H41" s="379" t="s">
        <v>1785</v>
      </c>
    </row>
    <row r="42" spans="1:8" ht="27.6" customHeight="1">
      <c r="A42" s="89" t="s">
        <v>1995</v>
      </c>
      <c r="B42" s="172" t="str">
        <f>'Basic AST 11'!B95</f>
        <v>Look at the piperacillin-tazobactam disks currently in use. Does the drug concentration correspond correctly to the standard in use? (CLSI breakpoints require 100/10µg disks, EUCAST breakpoints require 30/6µg disks).</v>
      </c>
      <c r="C42" s="380">
        <f>'Basic AST 11'!C95</f>
        <v>0</v>
      </c>
      <c r="D42" s="89" t="s">
        <v>4892</v>
      </c>
      <c r="E42" s="376" t="str">
        <f t="shared" si="6"/>
        <v>'</v>
      </c>
      <c r="F42" s="89">
        <f t="shared" si="0"/>
        <v>0</v>
      </c>
      <c r="G42" s="377" t="s">
        <v>2389</v>
      </c>
      <c r="H42" s="379" t="s">
        <v>2340</v>
      </c>
    </row>
    <row r="43" spans="1:8" ht="27.6" customHeight="1">
      <c r="A43" s="89"/>
      <c r="B43" s="172" t="str">
        <f>'AST Expert rules 12'!B4</f>
        <v xml:space="preserve">Review a patient AST report for a Salmonella or Shigella isolate. Were any of the following drug classes tested or reported? </v>
      </c>
      <c r="C43" s="381"/>
      <c r="D43" s="89"/>
      <c r="E43" s="382"/>
      <c r="F43" s="347"/>
      <c r="G43" s="347"/>
      <c r="H43" s="379"/>
    </row>
    <row r="44" spans="1:8">
      <c r="A44" s="89" t="s">
        <v>1996</v>
      </c>
      <c r="B44" s="256" t="str">
        <f>'AST Expert rules 12'!B6</f>
        <v>1st generation cephalosporins (cefazolin, cephalothin, cephapirin, cephadrine)</v>
      </c>
      <c r="C44" s="380">
        <f>'AST Expert rules 12'!C6</f>
        <v>0</v>
      </c>
      <c r="D44" s="89" t="s">
        <v>4894</v>
      </c>
      <c r="E44" s="376" t="str">
        <f>IF(C44="Yes","Red Flag","'")</f>
        <v>'</v>
      </c>
      <c r="F44" s="89">
        <f t="shared" si="0"/>
        <v>0</v>
      </c>
      <c r="G44" s="377" t="s">
        <v>2390</v>
      </c>
      <c r="H44" s="379" t="s">
        <v>1419</v>
      </c>
    </row>
    <row r="45" spans="1:8">
      <c r="A45" s="89" t="s">
        <v>1997</v>
      </c>
      <c r="B45" s="256" t="str">
        <f>'AST Expert rules 12'!B7</f>
        <v>2nd generation cephalosporins (cefuroxime, cefonicid, cefamandole)</v>
      </c>
      <c r="C45" s="380">
        <f>'AST Expert rules 12'!C7</f>
        <v>0</v>
      </c>
      <c r="D45" s="89" t="s">
        <v>4894</v>
      </c>
      <c r="E45" s="376" t="str">
        <f t="shared" ref="E45:E48" si="7">IF(C45="Yes","Red Flag","'")</f>
        <v>'</v>
      </c>
      <c r="F45" s="89">
        <f t="shared" si="0"/>
        <v>0</v>
      </c>
      <c r="G45" s="377" t="s">
        <v>2390</v>
      </c>
      <c r="H45" s="379" t="s">
        <v>1420</v>
      </c>
    </row>
    <row r="46" spans="1:8">
      <c r="A46" s="89" t="s">
        <v>1998</v>
      </c>
      <c r="B46" s="256" t="str">
        <f>'AST Expert rules 12'!B8</f>
        <v>Cephamycins (cefoxitin, cefotetan)</v>
      </c>
      <c r="C46" s="380">
        <f>'AST Expert rules 12'!C8</f>
        <v>0</v>
      </c>
      <c r="D46" s="89" t="s">
        <v>4894</v>
      </c>
      <c r="E46" s="376" t="str">
        <f t="shared" si="7"/>
        <v>'</v>
      </c>
      <c r="F46" s="89">
        <f t="shared" si="0"/>
        <v>0</v>
      </c>
      <c r="G46" s="377" t="s">
        <v>2390</v>
      </c>
      <c r="H46" s="379" t="s">
        <v>1421</v>
      </c>
    </row>
    <row r="47" spans="1:8">
      <c r="A47" s="89" t="s">
        <v>1999</v>
      </c>
      <c r="B47" s="256" t="str">
        <f>'AST Expert rules 12'!B9</f>
        <v>Aminoglycosides (gentamicin, tobramycin, amikacin)</v>
      </c>
      <c r="C47" s="380">
        <f>'AST Expert rules 12'!C9</f>
        <v>0</v>
      </c>
      <c r="D47" s="89" t="s">
        <v>4894</v>
      </c>
      <c r="E47" s="376" t="str">
        <f t="shared" si="7"/>
        <v>'</v>
      </c>
      <c r="F47" s="89">
        <f t="shared" si="0"/>
        <v>0</v>
      </c>
      <c r="G47" s="377" t="s">
        <v>2390</v>
      </c>
      <c r="H47" s="379" t="s">
        <v>1422</v>
      </c>
    </row>
    <row r="48" spans="1:8">
      <c r="A48" s="89" t="s">
        <v>2000</v>
      </c>
      <c r="B48" s="172" t="str">
        <f>'AST Expert rules 12'!B10</f>
        <v>Does the lab use Nalidixic Acid to screen Salmonella isolates for ciprofloxacin resistance?</v>
      </c>
      <c r="C48" s="380">
        <f>'AST Expert rules 12'!C10</f>
        <v>0</v>
      </c>
      <c r="D48" s="89" t="s">
        <v>4894</v>
      </c>
      <c r="E48" s="376" t="str">
        <f t="shared" si="7"/>
        <v>'</v>
      </c>
      <c r="F48" s="89">
        <f t="shared" si="0"/>
        <v>0</v>
      </c>
      <c r="G48" s="377" t="s">
        <v>2390</v>
      </c>
      <c r="H48" s="379" t="s">
        <v>1423</v>
      </c>
    </row>
    <row r="49" spans="1:8" ht="27.6" customHeight="1">
      <c r="A49" s="89" t="s">
        <v>2001</v>
      </c>
      <c r="B49" s="172" t="str">
        <f>'AST Expert rules 12'!B11</f>
        <v xml:space="preserve">Compare the lab’s AST bench aids and SOPs to the Salmonella table in the Assessor’s Guide. Does the lab use the correct fluoroquinolone (FQ) breakpoints for Salmonella spp? </v>
      </c>
      <c r="C49" s="380">
        <f>'AST Expert rules 12'!C11</f>
        <v>0</v>
      </c>
      <c r="D49" s="89" t="s">
        <v>4892</v>
      </c>
      <c r="E49" s="376" t="str">
        <f t="shared" ref="E49:E52" si="8">IF(C49="No","Red Flag","'")</f>
        <v>'</v>
      </c>
      <c r="F49" s="89">
        <f t="shared" si="0"/>
        <v>0</v>
      </c>
      <c r="G49" s="377" t="s">
        <v>2390</v>
      </c>
      <c r="H49" s="379" t="s">
        <v>1424</v>
      </c>
    </row>
    <row r="50" spans="1:8" ht="41.4" customHeight="1">
      <c r="A50" s="89" t="s">
        <v>2002</v>
      </c>
      <c r="B50" s="172" t="str">
        <f>'AST Expert rules 12'!B43</f>
        <v>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v>
      </c>
      <c r="C50" s="380">
        <f>'AST Expert rules 12'!C43</f>
        <v>0</v>
      </c>
      <c r="D50" s="89" t="s">
        <v>4892</v>
      </c>
      <c r="E50" s="376" t="str">
        <f t="shared" si="8"/>
        <v>'</v>
      </c>
      <c r="F50" s="89">
        <f t="shared" si="0"/>
        <v>0</v>
      </c>
      <c r="G50" s="377" t="s">
        <v>2390</v>
      </c>
      <c r="H50" s="379" t="s">
        <v>1444</v>
      </c>
    </row>
    <row r="51" spans="1:8" ht="41.4" customHeight="1">
      <c r="A51" s="89" t="s">
        <v>2003</v>
      </c>
      <c r="B51" s="172" t="str">
        <f>'AST Expert rules 12'!B44</f>
        <v>Labs that do NOT use current aztreonam and cephalosporin breakpoints should attach a warning comment to the report for ESBL-positive organisms: “ESBL-producers should be considered clinically resistant to all penicillins, cephalosporins, and aztreonam.” Is this practice in place?</v>
      </c>
      <c r="C51" s="380">
        <f>'AST Expert rules 12'!C44</f>
        <v>0</v>
      </c>
      <c r="D51" s="89" t="s">
        <v>4892</v>
      </c>
      <c r="E51" s="376" t="str">
        <f t="shared" si="8"/>
        <v>'</v>
      </c>
      <c r="F51" s="89">
        <f t="shared" si="0"/>
        <v>0</v>
      </c>
      <c r="G51" s="377" t="s">
        <v>2390</v>
      </c>
      <c r="H51" s="379" t="s">
        <v>1445</v>
      </c>
    </row>
    <row r="52" spans="1:8" ht="55.2" customHeight="1">
      <c r="A52" s="89" t="s">
        <v>2004</v>
      </c>
      <c r="B52" s="172" t="str">
        <f>'AST Expert rules 12'!B56</f>
        <v>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v>
      </c>
      <c r="C52" s="380">
        <f>'AST Expert rules 12'!C56</f>
        <v>0</v>
      </c>
      <c r="D52" s="89" t="s">
        <v>4892</v>
      </c>
      <c r="E52" s="376" t="str">
        <f t="shared" si="8"/>
        <v>'</v>
      </c>
      <c r="F52" s="89">
        <f t="shared" si="0"/>
        <v>0</v>
      </c>
      <c r="G52" s="377" t="s">
        <v>2390</v>
      </c>
      <c r="H52" s="379" t="s">
        <v>4898</v>
      </c>
    </row>
    <row r="53" spans="1:8">
      <c r="A53" s="385"/>
      <c r="B53" s="172" t="str">
        <f>'AST Expert rules 12'!B60</f>
        <v>Does the lab perform any of the following phenotypic tests for carbapenemase production?</v>
      </c>
      <c r="C53" s="13"/>
      <c r="D53" s="89"/>
      <c r="E53" s="382"/>
      <c r="F53" s="347"/>
      <c r="G53" s="377"/>
      <c r="H53" s="379"/>
    </row>
    <row r="54" spans="1:8">
      <c r="A54" s="89" t="s">
        <v>2005</v>
      </c>
      <c r="B54" s="256" t="str">
        <f>'AST Expert rules 12'!B61</f>
        <v>Modified Hodge test</v>
      </c>
      <c r="C54" s="380">
        <f>'AST Expert rules 12'!C61</f>
        <v>0</v>
      </c>
      <c r="D54" s="89" t="s">
        <v>4894</v>
      </c>
      <c r="E54" s="376" t="str">
        <f>IF(C54="Yes","Red Flag","'")</f>
        <v>'</v>
      </c>
      <c r="F54" s="89">
        <f t="shared" si="0"/>
        <v>0</v>
      </c>
      <c r="G54" s="377" t="s">
        <v>2390</v>
      </c>
      <c r="H54" s="379" t="s">
        <v>1453</v>
      </c>
    </row>
    <row r="55" spans="1:8">
      <c r="A55" s="385"/>
      <c r="B55" s="172" t="str">
        <f>'AST Expert rules 12'!B76</f>
        <v>Which methods does the lab use for colistin AST? (Check all that apply)</v>
      </c>
      <c r="C55" s="13"/>
      <c r="D55" s="89"/>
      <c r="E55" s="382"/>
      <c r="F55" s="347"/>
      <c r="G55" s="377"/>
      <c r="H55" s="379"/>
    </row>
    <row r="56" spans="1:8">
      <c r="A56" s="89" t="s">
        <v>2006</v>
      </c>
      <c r="B56" s="256" t="str">
        <f>'AST Expert rules 12'!B77</f>
        <v>Disk diffusion</v>
      </c>
      <c r="C56" s="380">
        <f>'AST Expert rules 12'!C77</f>
        <v>0</v>
      </c>
      <c r="D56" s="89" t="s">
        <v>4894</v>
      </c>
      <c r="E56" s="376" t="str">
        <f t="shared" ref="E56:E63" si="9">IF(C56="Yes","Red Flag","'")</f>
        <v>'</v>
      </c>
      <c r="F56" s="89">
        <f t="shared" si="0"/>
        <v>0</v>
      </c>
      <c r="G56" s="377" t="s">
        <v>2390</v>
      </c>
      <c r="H56" s="379" t="s">
        <v>1461</v>
      </c>
    </row>
    <row r="57" spans="1:8">
      <c r="A57" s="89" t="s">
        <v>2007</v>
      </c>
      <c r="B57" s="256" t="str">
        <f>'AST Expert rules 12'!B78</f>
        <v>Gradient strip (e.g., Etest/Liofilchem)</v>
      </c>
      <c r="C57" s="380">
        <f>'AST Expert rules 12'!C78</f>
        <v>0</v>
      </c>
      <c r="D57" s="89" t="s">
        <v>4894</v>
      </c>
      <c r="E57" s="376" t="str">
        <f t="shared" si="9"/>
        <v>'</v>
      </c>
      <c r="F57" s="89">
        <f t="shared" si="0"/>
        <v>0</v>
      </c>
      <c r="G57" s="377" t="s">
        <v>2390</v>
      </c>
      <c r="H57" s="379" t="s">
        <v>1462</v>
      </c>
    </row>
    <row r="58" spans="1:8">
      <c r="A58" s="89" t="s">
        <v>2008</v>
      </c>
      <c r="B58" s="256" t="str">
        <f>'AST Expert rules 12'!B79</f>
        <v>Automated instrument (e.g., Vitek/Phoenix)</v>
      </c>
      <c r="C58" s="380">
        <f>'AST Expert rules 12'!C79</f>
        <v>0</v>
      </c>
      <c r="D58" s="89" t="s">
        <v>4894</v>
      </c>
      <c r="E58" s="376" t="str">
        <f t="shared" si="9"/>
        <v>'</v>
      </c>
      <c r="F58" s="89">
        <f t="shared" si="0"/>
        <v>0</v>
      </c>
      <c r="G58" s="377" t="s">
        <v>2390</v>
      </c>
      <c r="H58" s="379" t="s">
        <v>1463</v>
      </c>
    </row>
    <row r="59" spans="1:8">
      <c r="A59" s="89" t="s">
        <v>2009</v>
      </c>
      <c r="B59" s="256" t="str">
        <f>'AST Expert rules 12'!B80</f>
        <v>Broth microdilution (BMD) with Polysorbate 80</v>
      </c>
      <c r="C59" s="380">
        <f>'AST Expert rules 12'!C80</f>
        <v>0</v>
      </c>
      <c r="D59" s="89" t="s">
        <v>4894</v>
      </c>
      <c r="E59" s="376" t="str">
        <f t="shared" si="9"/>
        <v>'</v>
      </c>
      <c r="F59" s="89">
        <f t="shared" si="0"/>
        <v>0</v>
      </c>
      <c r="G59" s="377" t="s">
        <v>2390</v>
      </c>
      <c r="H59" s="379" t="s">
        <v>1464</v>
      </c>
    </row>
    <row r="60" spans="1:8">
      <c r="A60" s="89" t="s">
        <v>2010</v>
      </c>
      <c r="B60" s="169" t="str">
        <f>'AST Expert rules 12'!B102</f>
        <v>Does the lab use Oxacillin disks to test for MRSA?</v>
      </c>
      <c r="C60" s="380">
        <f>'AST Expert rules 12'!C102</f>
        <v>0</v>
      </c>
      <c r="D60" s="89" t="s">
        <v>4894</v>
      </c>
      <c r="E60" s="376" t="str">
        <f t="shared" si="9"/>
        <v>'</v>
      </c>
      <c r="F60" s="89">
        <f t="shared" si="0"/>
        <v>0</v>
      </c>
      <c r="G60" s="377" t="s">
        <v>2390</v>
      </c>
      <c r="H60" s="379" t="s">
        <v>1480</v>
      </c>
    </row>
    <row r="61" spans="1:8" ht="27.6" customHeight="1">
      <c r="A61" s="89" t="s">
        <v>2011</v>
      </c>
      <c r="B61" s="169" t="str">
        <f>'AST Expert rules 12'!B103</f>
        <v xml:space="preserve">When oxacillin and cefoxitin results are discrepant for S. aureus (one is S and one is R), how does the lab report oxacillin? </v>
      </c>
      <c r="C61" s="380">
        <f>'AST Expert rules 12'!C103</f>
        <v>0</v>
      </c>
      <c r="D61" s="89">
        <v>1</v>
      </c>
      <c r="E61" s="383" t="str">
        <f>IF(C61=1,"Red Flag","'")</f>
        <v>'</v>
      </c>
      <c r="F61" s="89">
        <f t="shared" si="0"/>
        <v>0</v>
      </c>
      <c r="G61" s="377" t="s">
        <v>2390</v>
      </c>
      <c r="H61" s="379" t="s">
        <v>1481</v>
      </c>
    </row>
    <row r="62" spans="1:8">
      <c r="A62" s="89" t="s">
        <v>2012</v>
      </c>
      <c r="B62" s="169" t="str">
        <f>'AST Expert rules 12'!B105</f>
        <v>Does the lab perform S. aureus AST on any beta-lactam antibiotics other than penicillin, oxacillin, cefoxitin, or ceftaroline?</v>
      </c>
      <c r="C62" s="380">
        <f>'AST Expert rules 12'!C105</f>
        <v>0</v>
      </c>
      <c r="D62" s="89" t="s">
        <v>4894</v>
      </c>
      <c r="E62" s="376" t="str">
        <f t="shared" si="9"/>
        <v>'</v>
      </c>
      <c r="F62" s="89">
        <f t="shared" si="0"/>
        <v>0</v>
      </c>
      <c r="G62" s="377" t="s">
        <v>2390</v>
      </c>
      <c r="H62" s="379" t="s">
        <v>1482</v>
      </c>
    </row>
    <row r="63" spans="1:8" ht="27.6" customHeight="1">
      <c r="A63" s="89" t="s">
        <v>2013</v>
      </c>
      <c r="B63" s="169" t="str">
        <f>'AST Expert rules 12'!B106</f>
        <v>Does the lab use vancomycin disks to test for VISA/VRSA?</v>
      </c>
      <c r="C63" s="380">
        <f>'AST Expert rules 12'!C106</f>
        <v>0</v>
      </c>
      <c r="D63" s="89" t="s">
        <v>4894</v>
      </c>
      <c r="E63" s="376" t="str">
        <f t="shared" si="9"/>
        <v>'</v>
      </c>
      <c r="F63" s="89">
        <f t="shared" si="0"/>
        <v>0</v>
      </c>
      <c r="G63" s="377" t="s">
        <v>2390</v>
      </c>
      <c r="H63" s="379" t="s">
        <v>1483</v>
      </c>
    </row>
    <row r="64" spans="1:8" ht="27.6" customHeight="1">
      <c r="A64" s="89" t="s">
        <v>2014</v>
      </c>
      <c r="B64" s="169" t="str">
        <f>'AST Expert rules 12'!B111</f>
        <v>Are S. aureus that are resistant to Erythromycin and susceptible or intermediate to Clindamycin tested for inducible clindamycin resistance?</v>
      </c>
      <c r="C64" s="380">
        <f>'AST Expert rules 12'!C111</f>
        <v>0</v>
      </c>
      <c r="D64" s="89" t="s">
        <v>4892</v>
      </c>
      <c r="E64" s="376" t="str">
        <f t="shared" ref="E64" si="10">IF(C64="No","Red Flag","'")</f>
        <v>'</v>
      </c>
      <c r="F64" s="89">
        <f t="shared" si="0"/>
        <v>0</v>
      </c>
      <c r="G64" s="377" t="s">
        <v>2390</v>
      </c>
      <c r="H64" s="379" t="s">
        <v>1486</v>
      </c>
    </row>
    <row r="65" spans="1:8">
      <c r="A65" s="89"/>
      <c r="B65" s="172" t="str">
        <f>'AST Expert rules 12'!B124</f>
        <v>Does the lab use the disk diffusion method to test any of the following antibiotics against S.pneumo?</v>
      </c>
      <c r="C65" s="5"/>
      <c r="D65" s="370"/>
      <c r="E65" s="371"/>
      <c r="F65" s="371"/>
      <c r="G65" s="377"/>
      <c r="H65" s="379"/>
    </row>
    <row r="66" spans="1:8">
      <c r="A66" s="89" t="s">
        <v>2015</v>
      </c>
      <c r="B66" s="256" t="str">
        <f>'AST Expert rules 12'!B125</f>
        <v>Penicillin</v>
      </c>
      <c r="C66" s="380">
        <f>'AST Expert rules 12'!C125</f>
        <v>0</v>
      </c>
      <c r="D66" s="89" t="s">
        <v>4894</v>
      </c>
      <c r="E66" s="376" t="str">
        <f>IF(C66="Yes","Red Flag","'")</f>
        <v>'</v>
      </c>
      <c r="F66" s="89">
        <f t="shared" si="0"/>
        <v>0</v>
      </c>
      <c r="G66" s="377" t="s">
        <v>2390</v>
      </c>
      <c r="H66" s="379" t="s">
        <v>1492</v>
      </c>
    </row>
    <row r="67" spans="1:8">
      <c r="A67" s="89" t="s">
        <v>2016</v>
      </c>
      <c r="B67" s="256" t="str">
        <f>'AST Expert rules 12'!B126</f>
        <v>Amoxicillin</v>
      </c>
      <c r="C67" s="380">
        <f>'AST Expert rules 12'!C126</f>
        <v>0</v>
      </c>
      <c r="D67" s="89" t="s">
        <v>4894</v>
      </c>
      <c r="E67" s="376" t="str">
        <f t="shared" ref="E67:E75" si="11">IF(C67="Yes","Red Flag","'")</f>
        <v>'</v>
      </c>
      <c r="F67" s="89">
        <f t="shared" si="0"/>
        <v>0</v>
      </c>
      <c r="G67" s="377" t="s">
        <v>2390</v>
      </c>
      <c r="H67" s="379" t="s">
        <v>1493</v>
      </c>
    </row>
    <row r="68" spans="1:8">
      <c r="A68" s="89" t="s">
        <v>2017</v>
      </c>
      <c r="B68" s="256" t="str">
        <f>'AST Expert rules 12'!B127</f>
        <v>Ampicillin</v>
      </c>
      <c r="C68" s="380">
        <f>'AST Expert rules 12'!C127</f>
        <v>0</v>
      </c>
      <c r="D68" s="89" t="s">
        <v>4894</v>
      </c>
      <c r="E68" s="376" t="str">
        <f t="shared" si="11"/>
        <v>'</v>
      </c>
      <c r="F68" s="89">
        <f t="shared" si="0"/>
        <v>0</v>
      </c>
      <c r="G68" s="377" t="s">
        <v>2390</v>
      </c>
      <c r="H68" s="379" t="s">
        <v>1494</v>
      </c>
    </row>
    <row r="69" spans="1:8">
      <c r="A69" s="89" t="s">
        <v>2018</v>
      </c>
      <c r="B69" s="256" t="str">
        <f>'AST Expert rules 12'!B128</f>
        <v>Cefotaxime</v>
      </c>
      <c r="C69" s="380">
        <f>'AST Expert rules 12'!C128</f>
        <v>0</v>
      </c>
      <c r="D69" s="89" t="s">
        <v>4894</v>
      </c>
      <c r="E69" s="376" t="str">
        <f t="shared" si="11"/>
        <v>'</v>
      </c>
      <c r="F69" s="89">
        <f t="shared" si="0"/>
        <v>0</v>
      </c>
      <c r="G69" s="377" t="s">
        <v>2390</v>
      </c>
      <c r="H69" s="379" t="s">
        <v>1495</v>
      </c>
    </row>
    <row r="70" spans="1:8">
      <c r="A70" s="89" t="s">
        <v>2019</v>
      </c>
      <c r="B70" s="256" t="str">
        <f>'AST Expert rules 12'!B129</f>
        <v>Ceftriaxone</v>
      </c>
      <c r="C70" s="380">
        <f>'AST Expert rules 12'!C129</f>
        <v>0</v>
      </c>
      <c r="D70" s="89" t="s">
        <v>4894</v>
      </c>
      <c r="E70" s="376" t="str">
        <f t="shared" si="11"/>
        <v>'</v>
      </c>
      <c r="F70" s="89">
        <f t="shared" si="0"/>
        <v>0</v>
      </c>
      <c r="G70" s="377" t="s">
        <v>2390</v>
      </c>
      <c r="H70" s="379" t="s">
        <v>1496</v>
      </c>
    </row>
    <row r="71" spans="1:8">
      <c r="A71" s="89" t="s">
        <v>2020</v>
      </c>
      <c r="B71" s="256" t="str">
        <f>'AST Expert rules 12'!B130</f>
        <v>Cefuroxime</v>
      </c>
      <c r="C71" s="380">
        <f>'AST Expert rules 12'!C130</f>
        <v>0</v>
      </c>
      <c r="D71" s="89" t="s">
        <v>4894</v>
      </c>
      <c r="E71" s="376" t="str">
        <f t="shared" si="11"/>
        <v>'</v>
      </c>
      <c r="F71" s="89">
        <f t="shared" si="0"/>
        <v>0</v>
      </c>
      <c r="G71" s="377" t="s">
        <v>2390</v>
      </c>
      <c r="H71" s="379" t="s">
        <v>1497</v>
      </c>
    </row>
    <row r="72" spans="1:8">
      <c r="A72" s="89" t="s">
        <v>2021</v>
      </c>
      <c r="B72" s="256" t="str">
        <f>'AST Expert rules 12'!B131</f>
        <v>Cefepime</v>
      </c>
      <c r="C72" s="380">
        <f>'AST Expert rules 12'!C131</f>
        <v>0</v>
      </c>
      <c r="D72" s="89" t="s">
        <v>4894</v>
      </c>
      <c r="E72" s="376" t="str">
        <f t="shared" si="11"/>
        <v>'</v>
      </c>
      <c r="F72" s="89">
        <f t="shared" si="0"/>
        <v>0</v>
      </c>
      <c r="G72" s="377" t="s">
        <v>2390</v>
      </c>
      <c r="H72" s="379" t="s">
        <v>1498</v>
      </c>
    </row>
    <row r="73" spans="1:8">
      <c r="A73" s="89" t="s">
        <v>2022</v>
      </c>
      <c r="B73" s="256" t="str">
        <f>'AST Expert rules 12'!B132</f>
        <v>Ertapenem</v>
      </c>
      <c r="C73" s="380">
        <f>'AST Expert rules 12'!C132</f>
        <v>0</v>
      </c>
      <c r="D73" s="89" t="s">
        <v>4894</v>
      </c>
      <c r="E73" s="376" t="str">
        <f t="shared" si="11"/>
        <v>'</v>
      </c>
      <c r="F73" s="89">
        <f t="shared" ref="F73:F114" si="12">IF(E73="Red Flag",1,0)</f>
        <v>0</v>
      </c>
      <c r="G73" s="377" t="s">
        <v>2390</v>
      </c>
      <c r="H73" s="379" t="s">
        <v>1499</v>
      </c>
    </row>
    <row r="74" spans="1:8">
      <c r="A74" s="89" t="s">
        <v>2023</v>
      </c>
      <c r="B74" s="256" t="str">
        <f>'AST Expert rules 12'!B133</f>
        <v>Meropenem</v>
      </c>
      <c r="C74" s="380">
        <f>'AST Expert rules 12'!C133</f>
        <v>0</v>
      </c>
      <c r="D74" s="89" t="s">
        <v>4894</v>
      </c>
      <c r="E74" s="376" t="str">
        <f t="shared" si="11"/>
        <v>'</v>
      </c>
      <c r="F74" s="89">
        <f t="shared" si="12"/>
        <v>0</v>
      </c>
      <c r="G74" s="377" t="s">
        <v>2390</v>
      </c>
      <c r="H74" s="379" t="s">
        <v>1500</v>
      </c>
    </row>
    <row r="75" spans="1:8">
      <c r="A75" s="89" t="s">
        <v>2024</v>
      </c>
      <c r="B75" s="256" t="str">
        <f>'AST Expert rules 12'!B134</f>
        <v>Imipenem</v>
      </c>
      <c r="C75" s="380">
        <f>'AST Expert rules 12'!C134</f>
        <v>0</v>
      </c>
      <c r="D75" s="89" t="s">
        <v>4894</v>
      </c>
      <c r="E75" s="376" t="str">
        <f t="shared" si="11"/>
        <v>'</v>
      </c>
      <c r="F75" s="89">
        <f t="shared" si="12"/>
        <v>0</v>
      </c>
      <c r="G75" s="377" t="s">
        <v>2390</v>
      </c>
      <c r="H75" s="379" t="s">
        <v>1501</v>
      </c>
    </row>
    <row r="76" spans="1:8" ht="27.6" customHeight="1">
      <c r="A76" s="89" t="s">
        <v>2025</v>
      </c>
      <c r="B76" s="169" t="str">
        <f>'AST Expert rules 12'!B140</f>
        <v>Are S. pneumoniae that are resistant to Erythromycin and susceptible or intermediate to Clindamycin tested for inducible clindamycin resistance?</v>
      </c>
      <c r="C76" s="380">
        <f>'AST Expert rules 12'!C140</f>
        <v>0</v>
      </c>
      <c r="D76" s="89" t="s">
        <v>4892</v>
      </c>
      <c r="E76" s="376" t="str">
        <f t="shared" ref="E76:E77" si="13">IF(C76="No","Red Flag","'")</f>
        <v>'</v>
      </c>
      <c r="F76" s="89">
        <f t="shared" si="12"/>
        <v>0</v>
      </c>
      <c r="G76" s="377" t="s">
        <v>2390</v>
      </c>
      <c r="H76" s="379" t="s">
        <v>1506</v>
      </c>
    </row>
    <row r="77" spans="1:8">
      <c r="A77" s="89" t="s">
        <v>2026</v>
      </c>
      <c r="B77" s="169" t="str">
        <f>'AST Expert rules 12'!B148</f>
        <v xml:space="preserve">When the ICR test is positive, is the clindamycin result changed to resistant? </v>
      </c>
      <c r="C77" s="380">
        <f>'AST Expert rules 12'!C148</f>
        <v>0</v>
      </c>
      <c r="D77" s="89" t="s">
        <v>4892</v>
      </c>
      <c r="E77" s="376" t="str">
        <f t="shared" si="13"/>
        <v>'</v>
      </c>
      <c r="F77" s="89">
        <f t="shared" si="12"/>
        <v>0</v>
      </c>
      <c r="G77" s="377" t="s">
        <v>2390</v>
      </c>
      <c r="H77" s="379" t="s">
        <v>1965</v>
      </c>
    </row>
    <row r="78" spans="1:8" ht="27.6" customHeight="1">
      <c r="A78" s="385"/>
      <c r="B78" s="172" t="str">
        <f>'AST Expert rules 12'!B151</f>
        <v xml:space="preserve">Review a patient AST report for a positive CSF culture. Were any of the following drug classes tested or reported? </v>
      </c>
      <c r="C78" s="13"/>
      <c r="D78" s="89"/>
      <c r="E78" s="382"/>
      <c r="F78" s="347"/>
      <c r="G78" s="377"/>
      <c r="H78" s="379"/>
    </row>
    <row r="79" spans="1:8">
      <c r="A79" s="386" t="s">
        <v>2027</v>
      </c>
      <c r="B79" s="256" t="str">
        <f>'AST Expert rules 12'!B153</f>
        <v>1st generation cephalosporins (cefazolin, cephalothin, cephapirin, cephadrine)</v>
      </c>
      <c r="C79" s="380">
        <f>'AST Expert rules 12'!C153</f>
        <v>0</v>
      </c>
      <c r="D79" s="89" t="s">
        <v>4894</v>
      </c>
      <c r="E79" s="376" t="str">
        <f t="shared" ref="E79:E86" si="14">IF(C79="Yes","Red Flag","'")</f>
        <v>'</v>
      </c>
      <c r="F79" s="89">
        <f t="shared" si="12"/>
        <v>0</v>
      </c>
      <c r="G79" s="377" t="s">
        <v>2390</v>
      </c>
      <c r="H79" s="379" t="s">
        <v>1966</v>
      </c>
    </row>
    <row r="80" spans="1:8">
      <c r="A80" s="386" t="s">
        <v>2028</v>
      </c>
      <c r="B80" s="256" t="str">
        <f>'AST Expert rules 12'!B154</f>
        <v>2nd generation cephalosporins (cefuroxime, cefonicid, cefamandole)</v>
      </c>
      <c r="C80" s="380">
        <f>'AST Expert rules 12'!C154</f>
        <v>0</v>
      </c>
      <c r="D80" s="89" t="s">
        <v>4894</v>
      </c>
      <c r="E80" s="376" t="str">
        <f t="shared" si="14"/>
        <v>'</v>
      </c>
      <c r="F80" s="89">
        <f t="shared" si="12"/>
        <v>0</v>
      </c>
      <c r="G80" s="377" t="s">
        <v>2390</v>
      </c>
      <c r="H80" s="379" t="s">
        <v>1967</v>
      </c>
    </row>
    <row r="81" spans="1:8">
      <c r="A81" s="386" t="s">
        <v>2029</v>
      </c>
      <c r="B81" s="256" t="str">
        <f>'AST Expert rules 12'!B155</f>
        <v>Cephamycins (cefoxitin, cefotetan)</v>
      </c>
      <c r="C81" s="380">
        <f>'AST Expert rules 12'!C155</f>
        <v>0</v>
      </c>
      <c r="D81" s="89" t="s">
        <v>4894</v>
      </c>
      <c r="E81" s="376" t="str">
        <f t="shared" si="14"/>
        <v>'</v>
      </c>
      <c r="F81" s="89">
        <f t="shared" si="12"/>
        <v>0</v>
      </c>
      <c r="G81" s="377" t="s">
        <v>2390</v>
      </c>
      <c r="H81" s="379" t="s">
        <v>1968</v>
      </c>
    </row>
    <row r="82" spans="1:8">
      <c r="A82" s="386" t="s">
        <v>2030</v>
      </c>
      <c r="B82" s="256" t="str">
        <f>'AST Expert rules 12'!B156</f>
        <v>Clindamycin</v>
      </c>
      <c r="C82" s="380">
        <f>'AST Expert rules 12'!C156</f>
        <v>0</v>
      </c>
      <c r="D82" s="89" t="s">
        <v>4894</v>
      </c>
      <c r="E82" s="376" t="str">
        <f t="shared" si="14"/>
        <v>'</v>
      </c>
      <c r="F82" s="89">
        <f t="shared" si="12"/>
        <v>0</v>
      </c>
      <c r="G82" s="377" t="s">
        <v>2390</v>
      </c>
      <c r="H82" s="379" t="s">
        <v>1969</v>
      </c>
    </row>
    <row r="83" spans="1:8">
      <c r="A83" s="386" t="s">
        <v>2031</v>
      </c>
      <c r="B83" s="256" t="str">
        <f>'AST Expert rules 12'!B157</f>
        <v>Macrolides (Erythromycin, Azithromycin, Clarithromycin)</v>
      </c>
      <c r="C83" s="380">
        <f>'AST Expert rules 12'!C157</f>
        <v>0</v>
      </c>
      <c r="D83" s="89" t="s">
        <v>4894</v>
      </c>
      <c r="E83" s="376" t="str">
        <f t="shared" si="14"/>
        <v>'</v>
      </c>
      <c r="F83" s="89">
        <f t="shared" si="12"/>
        <v>0</v>
      </c>
      <c r="G83" s="377" t="s">
        <v>2390</v>
      </c>
      <c r="H83" s="379" t="s">
        <v>1970</v>
      </c>
    </row>
    <row r="84" spans="1:8">
      <c r="A84" s="386" t="s">
        <v>2032</v>
      </c>
      <c r="B84" s="256" t="str">
        <f>'AST Expert rules 12'!B158</f>
        <v>Tetracyclines (Tetracycline, Minocycline, Doxycycline)</v>
      </c>
      <c r="C84" s="380">
        <f>'AST Expert rules 12'!C158</f>
        <v>0</v>
      </c>
      <c r="D84" s="89" t="s">
        <v>4894</v>
      </c>
      <c r="E84" s="376" t="str">
        <f t="shared" si="14"/>
        <v>'</v>
      </c>
      <c r="F84" s="89">
        <f t="shared" si="12"/>
        <v>0</v>
      </c>
      <c r="G84" s="377" t="s">
        <v>2390</v>
      </c>
      <c r="H84" s="379" t="s">
        <v>1971</v>
      </c>
    </row>
    <row r="85" spans="1:8">
      <c r="A85" s="386" t="s">
        <v>2033</v>
      </c>
      <c r="B85" s="256" t="str">
        <f>'AST Expert rules 12'!B159</f>
        <v>Fluoroquinolones (Ciprofloxacin, Levofloxacin, Moxifloxacin)</v>
      </c>
      <c r="C85" s="380">
        <f>'AST Expert rules 12'!C159</f>
        <v>0</v>
      </c>
      <c r="D85" s="89" t="s">
        <v>4894</v>
      </c>
      <c r="E85" s="376" t="str">
        <f t="shared" si="14"/>
        <v>'</v>
      </c>
      <c r="F85" s="89">
        <f t="shared" si="12"/>
        <v>0</v>
      </c>
      <c r="G85" s="377" t="s">
        <v>2390</v>
      </c>
      <c r="H85" s="379" t="s">
        <v>2348</v>
      </c>
    </row>
    <row r="86" spans="1:8">
      <c r="A86" s="386" t="s">
        <v>2034</v>
      </c>
      <c r="B86" s="256" t="str">
        <f>'AST Expert rules 12'!B160</f>
        <v>Nitrofurantoin</v>
      </c>
      <c r="C86" s="380">
        <f>'AST Expert rules 12'!C160</f>
        <v>0</v>
      </c>
      <c r="D86" s="89" t="s">
        <v>4894</v>
      </c>
      <c r="E86" s="376" t="str">
        <f t="shared" si="14"/>
        <v>'</v>
      </c>
      <c r="F86" s="89">
        <f t="shared" si="12"/>
        <v>0</v>
      </c>
      <c r="G86" s="377" t="s">
        <v>2390</v>
      </c>
      <c r="H86" s="379" t="s">
        <v>2349</v>
      </c>
    </row>
    <row r="87" spans="1:8" ht="27.6" customHeight="1">
      <c r="A87" s="386" t="s">
        <v>2035</v>
      </c>
      <c r="B87" s="169" t="str">
        <f>'AST Policy 13'!B43</f>
        <v>If the lab practices cascade reporting, is it done in a way which ensures that the AST results excluded from the patient report are NOT excluded from the LIS or other main data repository?</v>
      </c>
      <c r="C87" s="380">
        <f>'AST Policy 13'!C43</f>
        <v>0</v>
      </c>
      <c r="D87" s="89" t="s">
        <v>4892</v>
      </c>
      <c r="E87" s="376" t="str">
        <f>IF(C87="No","Red Flag","'")</f>
        <v>'</v>
      </c>
      <c r="F87" s="89">
        <f t="shared" si="12"/>
        <v>0</v>
      </c>
      <c r="G87" s="89" t="s">
        <v>2391</v>
      </c>
      <c r="H87" s="379" t="s">
        <v>1537</v>
      </c>
    </row>
    <row r="88" spans="1:8">
      <c r="A88" s="89"/>
      <c r="B88" s="172" t="str">
        <f>Safety!B4</f>
        <v>Is standard safety equipment available and in use in the laboratory?</v>
      </c>
      <c r="C88" s="13"/>
      <c r="D88" s="89"/>
      <c r="E88" s="382"/>
      <c r="F88" s="347"/>
      <c r="G88" s="347"/>
      <c r="H88" s="379"/>
    </row>
    <row r="89" spans="1:8">
      <c r="A89" s="89" t="s">
        <v>2036</v>
      </c>
      <c r="B89" s="256" t="str">
        <f>Safety!B5</f>
        <v>Biosafety cabinets (Class IIA)</v>
      </c>
      <c r="C89" s="380">
        <f>Safety!C5</f>
        <v>0</v>
      </c>
      <c r="D89" s="89" t="s">
        <v>4892</v>
      </c>
      <c r="E89" s="376" t="str">
        <f>IF(C89="No","Red Flag","'")</f>
        <v>'</v>
      </c>
      <c r="F89" s="89">
        <f t="shared" si="12"/>
        <v>0</v>
      </c>
      <c r="G89" s="89" t="s">
        <v>2392</v>
      </c>
      <c r="H89" s="379" t="s">
        <v>940</v>
      </c>
    </row>
    <row r="90" spans="1:8">
      <c r="A90" s="89" t="s">
        <v>2037</v>
      </c>
      <c r="B90" s="256" t="str">
        <f>Safety!B6</f>
        <v>Covers on each centrifuge bucket</v>
      </c>
      <c r="C90" s="380">
        <f>Safety!C6</f>
        <v>0</v>
      </c>
      <c r="D90" s="89" t="s">
        <v>4892</v>
      </c>
      <c r="E90" s="376" t="str">
        <f t="shared" ref="E90:E100" si="15">IF(C90="No","Red Flag","'")</f>
        <v>'</v>
      </c>
      <c r="F90" s="89">
        <f t="shared" si="12"/>
        <v>0</v>
      </c>
      <c r="G90" s="89" t="s">
        <v>2392</v>
      </c>
      <c r="H90" s="379" t="s">
        <v>941</v>
      </c>
    </row>
    <row r="91" spans="1:8">
      <c r="A91" s="89" t="s">
        <v>2038</v>
      </c>
      <c r="B91" s="256" t="str">
        <f>Safety!B7</f>
        <v>Cover over centrifuge rotor</v>
      </c>
      <c r="C91" s="380">
        <f>Safety!C7</f>
        <v>0</v>
      </c>
      <c r="D91" s="89" t="s">
        <v>4892</v>
      </c>
      <c r="E91" s="376" t="str">
        <f t="shared" si="15"/>
        <v>'</v>
      </c>
      <c r="F91" s="89">
        <f t="shared" si="12"/>
        <v>0</v>
      </c>
      <c r="G91" s="89" t="s">
        <v>2392</v>
      </c>
      <c r="H91" s="379" t="s">
        <v>942</v>
      </c>
    </row>
    <row r="92" spans="1:8">
      <c r="A92" s="89" t="s">
        <v>2039</v>
      </c>
      <c r="B92" s="256" t="str">
        <f>Safety!B8</f>
        <v>Hand-washing station</v>
      </c>
      <c r="C92" s="380">
        <f>Safety!C8</f>
        <v>0</v>
      </c>
      <c r="D92" s="89" t="s">
        <v>4892</v>
      </c>
      <c r="E92" s="376" t="str">
        <f t="shared" si="15"/>
        <v>'</v>
      </c>
      <c r="F92" s="89">
        <f t="shared" si="12"/>
        <v>0</v>
      </c>
      <c r="G92" s="89" t="s">
        <v>2392</v>
      </c>
      <c r="H92" s="379" t="s">
        <v>943</v>
      </c>
    </row>
    <row r="93" spans="1:8">
      <c r="A93" s="89" t="s">
        <v>2040</v>
      </c>
      <c r="B93" s="256" t="str">
        <f>Safety!B9</f>
        <v>Eyewash station/bottle</v>
      </c>
      <c r="C93" s="380">
        <f>Safety!C9</f>
        <v>0</v>
      </c>
      <c r="D93" s="89" t="s">
        <v>4892</v>
      </c>
      <c r="E93" s="376" t="str">
        <f t="shared" si="15"/>
        <v>'</v>
      </c>
      <c r="F93" s="89">
        <f t="shared" si="12"/>
        <v>0</v>
      </c>
      <c r="G93" s="89" t="s">
        <v>2392</v>
      </c>
      <c r="H93" s="379" t="s">
        <v>944</v>
      </c>
    </row>
    <row r="94" spans="1:8">
      <c r="A94" s="89" t="s">
        <v>2041</v>
      </c>
      <c r="B94" s="256" t="str">
        <f>Safety!B10</f>
        <v>Sharps containers</v>
      </c>
      <c r="C94" s="380">
        <f>Safety!C10</f>
        <v>0</v>
      </c>
      <c r="D94" s="89" t="s">
        <v>4892</v>
      </c>
      <c r="E94" s="376" t="str">
        <f t="shared" si="15"/>
        <v>'</v>
      </c>
      <c r="F94" s="89">
        <f t="shared" si="12"/>
        <v>0</v>
      </c>
      <c r="G94" s="89" t="s">
        <v>2392</v>
      </c>
      <c r="H94" s="379" t="s">
        <v>945</v>
      </c>
    </row>
    <row r="95" spans="1:8">
      <c r="A95" s="89" t="s">
        <v>2042</v>
      </c>
      <c r="B95" s="256" t="str">
        <f>Safety!B11</f>
        <v>Flame cabinet (for securely storing flammable liquids, e.g. ethanol)</v>
      </c>
      <c r="C95" s="380">
        <f>Safety!C11</f>
        <v>0</v>
      </c>
      <c r="D95" s="89" t="s">
        <v>4892</v>
      </c>
      <c r="E95" s="376" t="str">
        <f t="shared" si="15"/>
        <v>'</v>
      </c>
      <c r="F95" s="89">
        <f t="shared" si="12"/>
        <v>0</v>
      </c>
      <c r="G95" s="89" t="s">
        <v>2392</v>
      </c>
      <c r="H95" s="379" t="s">
        <v>946</v>
      </c>
    </row>
    <row r="96" spans="1:8">
      <c r="A96" s="89" t="s">
        <v>2043</v>
      </c>
      <c r="B96" s="256" t="str">
        <f>Safety!B12</f>
        <v>Spill kit</v>
      </c>
      <c r="C96" s="380">
        <f>Safety!C12</f>
        <v>0</v>
      </c>
      <c r="D96" s="89" t="s">
        <v>4892</v>
      </c>
      <c r="E96" s="376" t="str">
        <f t="shared" si="15"/>
        <v>'</v>
      </c>
      <c r="F96" s="89">
        <f t="shared" si="12"/>
        <v>0</v>
      </c>
      <c r="G96" s="89" t="s">
        <v>2392</v>
      </c>
      <c r="H96" s="379" t="s">
        <v>947</v>
      </c>
    </row>
    <row r="97" spans="1:14">
      <c r="A97" s="89" t="s">
        <v>2044</v>
      </c>
      <c r="B97" s="256" t="str">
        <f>Safety!B13</f>
        <v>First aid kit</v>
      </c>
      <c r="C97" s="380">
        <f>Safety!C13</f>
        <v>0</v>
      </c>
      <c r="D97" s="89" t="s">
        <v>4892</v>
      </c>
      <c r="E97" s="376" t="str">
        <f t="shared" si="15"/>
        <v>'</v>
      </c>
      <c r="F97" s="89">
        <f t="shared" si="12"/>
        <v>0</v>
      </c>
      <c r="G97" s="89" t="s">
        <v>2392</v>
      </c>
      <c r="H97" s="379" t="s">
        <v>948</v>
      </c>
    </row>
    <row r="98" spans="1:14">
      <c r="A98" s="89" t="s">
        <v>2045</v>
      </c>
      <c r="B98" s="169" t="str">
        <f>Safety!B16</f>
        <v xml:space="preserve">Have all biosafety cabinets been recertified within a year of today’s date? </v>
      </c>
      <c r="C98" s="380">
        <f>Safety!C16</f>
        <v>0</v>
      </c>
      <c r="D98" s="89" t="s">
        <v>4892</v>
      </c>
      <c r="E98" s="376" t="str">
        <f t="shared" si="15"/>
        <v>'</v>
      </c>
      <c r="F98" s="89">
        <f t="shared" si="12"/>
        <v>0</v>
      </c>
      <c r="G98" s="89" t="s">
        <v>2392</v>
      </c>
      <c r="H98" s="379" t="s">
        <v>950</v>
      </c>
    </row>
    <row r="99" spans="1:14">
      <c r="A99" s="89"/>
      <c r="B99" s="172" t="str">
        <f>Safety!B19</f>
        <v>Is all necessary personal protective equipment (PPE) available for BSL2?</v>
      </c>
      <c r="C99" s="13"/>
      <c r="D99" s="89"/>
      <c r="E99" s="382"/>
      <c r="F99" s="347"/>
      <c r="G99" s="89"/>
      <c r="H99" s="379"/>
    </row>
    <row r="100" spans="1:14">
      <c r="A100" s="89" t="s">
        <v>2046</v>
      </c>
      <c r="B100" s="256" t="str">
        <f>Safety!B20</f>
        <v>Gowns</v>
      </c>
      <c r="C100" s="380">
        <f>Safety!C20</f>
        <v>0</v>
      </c>
      <c r="D100" s="89" t="s">
        <v>4892</v>
      </c>
      <c r="E100" s="376" t="str">
        <f t="shared" si="15"/>
        <v>'</v>
      </c>
      <c r="F100" s="89">
        <f t="shared" si="12"/>
        <v>0</v>
      </c>
      <c r="G100" s="89" t="s">
        <v>2392</v>
      </c>
      <c r="H100" s="379" t="s">
        <v>949</v>
      </c>
    </row>
    <row r="101" spans="1:14">
      <c r="A101" s="89" t="s">
        <v>2047</v>
      </c>
      <c r="B101" s="256" t="str">
        <f>Safety!B21</f>
        <v>Gloves</v>
      </c>
      <c r="C101" s="380">
        <f>Safety!C21</f>
        <v>0</v>
      </c>
      <c r="D101" s="89" t="s">
        <v>4892</v>
      </c>
      <c r="E101" s="376" t="str">
        <f t="shared" ref="E101:E108" si="16">IF(C101="No","Red Flag","'")</f>
        <v>'</v>
      </c>
      <c r="F101" s="89">
        <f t="shared" si="12"/>
        <v>0</v>
      </c>
      <c r="G101" s="89" t="s">
        <v>2392</v>
      </c>
      <c r="H101" s="379" t="s">
        <v>951</v>
      </c>
    </row>
    <row r="102" spans="1:14">
      <c r="A102" s="89" t="s">
        <v>2048</v>
      </c>
      <c r="B102" s="256" t="str">
        <f>Safety!B22</f>
        <v>Eye protection</v>
      </c>
      <c r="C102" s="380">
        <f>Safety!C22</f>
        <v>0</v>
      </c>
      <c r="D102" s="89" t="s">
        <v>4892</v>
      </c>
      <c r="E102" s="376" t="str">
        <f t="shared" si="16"/>
        <v>'</v>
      </c>
      <c r="F102" s="89">
        <f t="shared" si="12"/>
        <v>0</v>
      </c>
      <c r="G102" s="89" t="s">
        <v>2392</v>
      </c>
      <c r="H102" s="379" t="s">
        <v>952</v>
      </c>
    </row>
    <row r="103" spans="1:14">
      <c r="A103" s="89" t="s">
        <v>2049</v>
      </c>
      <c r="B103" s="256" t="str">
        <f>Safety!B23</f>
        <v>Aerosol face protection (respirator, face shield, or splatter guard)</v>
      </c>
      <c r="C103" s="380">
        <f>Safety!C23</f>
        <v>0</v>
      </c>
      <c r="D103" s="89" t="s">
        <v>4892</v>
      </c>
      <c r="E103" s="376" t="str">
        <f t="shared" si="16"/>
        <v>'</v>
      </c>
      <c r="F103" s="89">
        <f t="shared" si="12"/>
        <v>0</v>
      </c>
      <c r="G103" s="89" t="s">
        <v>2392</v>
      </c>
      <c r="H103" s="379" t="s">
        <v>953</v>
      </c>
    </row>
    <row r="104" spans="1:14">
      <c r="A104" s="89" t="s">
        <v>2050</v>
      </c>
      <c r="B104" s="169" t="str">
        <f>Safety!B24</f>
        <v>Does lab policy require microbiology staff to wear close-toed shoes?</v>
      </c>
      <c r="C104" s="380">
        <f>Safety!C24</f>
        <v>0</v>
      </c>
      <c r="D104" s="89" t="s">
        <v>4892</v>
      </c>
      <c r="E104" s="376" t="str">
        <f t="shared" si="16"/>
        <v>'</v>
      </c>
      <c r="F104" s="89">
        <f t="shared" si="12"/>
        <v>0</v>
      </c>
      <c r="G104" s="89" t="s">
        <v>2392</v>
      </c>
      <c r="H104" s="379" t="s">
        <v>954</v>
      </c>
    </row>
    <row r="105" spans="1:14">
      <c r="A105" s="89" t="s">
        <v>2051</v>
      </c>
      <c r="B105" s="169" t="str">
        <f>Safety!B25</f>
        <v>Is PPE utilized appropriately and consistently by laboratory staff? (Observe)</v>
      </c>
      <c r="C105" s="380">
        <f>Safety!C25</f>
        <v>0</v>
      </c>
      <c r="D105" s="89" t="s">
        <v>4897</v>
      </c>
      <c r="E105" s="376" t="str">
        <f>IF(C105=2,"Red Flag",IF(C105=3,"Red Flag","'"))</f>
        <v>'</v>
      </c>
      <c r="F105" s="89">
        <f t="shared" si="12"/>
        <v>0</v>
      </c>
      <c r="G105" s="89" t="s">
        <v>2392</v>
      </c>
      <c r="H105" s="379" t="s">
        <v>955</v>
      </c>
    </row>
    <row r="106" spans="1:14">
      <c r="A106" s="89" t="s">
        <v>2052</v>
      </c>
      <c r="B106" s="172" t="str">
        <f>Safety!B30</f>
        <v>Does lab policy prohibit eating, drinking, and smoking in the laboratory?</v>
      </c>
      <c r="C106" s="380">
        <f>Safety!C30</f>
        <v>0</v>
      </c>
      <c r="D106" s="89" t="s">
        <v>4892</v>
      </c>
      <c r="E106" s="376" t="str">
        <f t="shared" si="16"/>
        <v>'</v>
      </c>
      <c r="F106" s="89">
        <f t="shared" si="12"/>
        <v>0</v>
      </c>
      <c r="G106" s="89" t="s">
        <v>2392</v>
      </c>
      <c r="H106" s="379" t="s">
        <v>956</v>
      </c>
    </row>
    <row r="107" spans="1:14">
      <c r="A107" s="89"/>
      <c r="B107" s="172" t="str">
        <f>Safety!B31</f>
        <v>Observe the refrigerators and freezers where media and reagents are stored. Are they:</v>
      </c>
      <c r="C107" s="13"/>
      <c r="D107" s="89"/>
      <c r="E107" s="382"/>
      <c r="F107" s="347"/>
      <c r="G107" s="89"/>
      <c r="H107" s="379"/>
    </row>
    <row r="108" spans="1:14">
      <c r="A108" s="89" t="s">
        <v>2053</v>
      </c>
      <c r="B108" s="256" t="str">
        <f>Safety!B32</f>
        <v>Designated specifically for storage of media/reagents?</v>
      </c>
      <c r="C108" s="380">
        <f>Safety!C32</f>
        <v>0</v>
      </c>
      <c r="D108" s="89" t="s">
        <v>4892</v>
      </c>
      <c r="E108" s="376" t="str">
        <f t="shared" si="16"/>
        <v>'</v>
      </c>
      <c r="F108" s="89">
        <f t="shared" si="12"/>
        <v>0</v>
      </c>
      <c r="G108" s="89" t="s">
        <v>2392</v>
      </c>
      <c r="H108" s="379" t="s">
        <v>957</v>
      </c>
    </row>
    <row r="109" spans="1:14">
      <c r="A109" s="89" t="s">
        <v>2054</v>
      </c>
      <c r="B109" s="256" t="str">
        <f>Safety!B33</f>
        <v>Free of staff food items?</v>
      </c>
      <c r="C109" s="380">
        <f>Safety!C33</f>
        <v>0</v>
      </c>
      <c r="D109" s="89" t="s">
        <v>4892</v>
      </c>
      <c r="E109" s="376" t="str">
        <f t="shared" ref="E109:E114" si="17">IF(C109="No","Red Flag","'")</f>
        <v>'</v>
      </c>
      <c r="F109" s="89">
        <f t="shared" si="12"/>
        <v>0</v>
      </c>
      <c r="G109" s="89" t="s">
        <v>2392</v>
      </c>
      <c r="H109" s="379" t="s">
        <v>958</v>
      </c>
    </row>
    <row r="110" spans="1:14">
      <c r="A110" s="89" t="s">
        <v>2055</v>
      </c>
      <c r="B110" s="256" t="str">
        <f>Safety!B34</f>
        <v>Free of patient samples?</v>
      </c>
      <c r="C110" s="380">
        <f>Safety!C34</f>
        <v>0</v>
      </c>
      <c r="D110" s="89" t="s">
        <v>4892</v>
      </c>
      <c r="E110" s="376" t="str">
        <f t="shared" si="17"/>
        <v>'</v>
      </c>
      <c r="F110" s="89">
        <f t="shared" si="12"/>
        <v>0</v>
      </c>
      <c r="G110" s="89" t="s">
        <v>2392</v>
      </c>
      <c r="H110" s="379" t="s">
        <v>959</v>
      </c>
      <c r="N110" s="107"/>
    </row>
    <row r="111" spans="1:14">
      <c r="A111" s="89" t="s">
        <v>2056</v>
      </c>
      <c r="B111" s="256" t="str">
        <f>Safety!B35</f>
        <v>Well organized and free of clutter?</v>
      </c>
      <c r="C111" s="380">
        <f>Safety!C35</f>
        <v>0</v>
      </c>
      <c r="D111" s="89" t="s">
        <v>4892</v>
      </c>
      <c r="E111" s="376" t="str">
        <f t="shared" si="17"/>
        <v>'</v>
      </c>
      <c r="F111" s="89">
        <f t="shared" si="12"/>
        <v>0</v>
      </c>
      <c r="G111" s="89" t="s">
        <v>2392</v>
      </c>
      <c r="H111" s="379" t="s">
        <v>960</v>
      </c>
      <c r="N111" s="107"/>
    </row>
    <row r="112" spans="1:14" ht="27.6" customHeight="1">
      <c r="A112" s="89" t="s">
        <v>2057</v>
      </c>
      <c r="B112" s="172" t="str">
        <f>Safety!B36</f>
        <v>Are all hazardous chemicals stored appropriately (acids separate from alkaline; flammables in a flame cabinet)?</v>
      </c>
      <c r="C112" s="380">
        <f>Safety!C36</f>
        <v>0</v>
      </c>
      <c r="D112" s="89" t="s">
        <v>4892</v>
      </c>
      <c r="E112" s="376" t="str">
        <f t="shared" si="17"/>
        <v>'</v>
      </c>
      <c r="F112" s="89">
        <f t="shared" si="12"/>
        <v>0</v>
      </c>
      <c r="G112" s="89" t="s">
        <v>2392</v>
      </c>
      <c r="H112" s="379" t="s">
        <v>961</v>
      </c>
      <c r="N112" s="107"/>
    </row>
    <row r="113" spans="1:14">
      <c r="A113" s="89" t="s">
        <v>2358</v>
      </c>
      <c r="B113" s="172" t="str">
        <f>Safety!B37</f>
        <v xml:space="preserve">Is work area (bench and hood) disinfection documented daily? </v>
      </c>
      <c r="C113" s="380">
        <f>Safety!C37</f>
        <v>0</v>
      </c>
      <c r="D113" s="89" t="s">
        <v>4892</v>
      </c>
      <c r="E113" s="376" t="str">
        <f t="shared" si="17"/>
        <v>'</v>
      </c>
      <c r="F113" s="89">
        <f t="shared" si="12"/>
        <v>0</v>
      </c>
      <c r="G113" s="89" t="s">
        <v>2392</v>
      </c>
      <c r="H113" s="379" t="s">
        <v>962</v>
      </c>
      <c r="N113" s="107"/>
    </row>
    <row r="114" spans="1:14" ht="27.6" customHeight="1">
      <c r="A114" s="89" t="s">
        <v>2359</v>
      </c>
      <c r="B114" s="172" t="str">
        <f>Safety!B43</f>
        <v>Is there documentation demonstrating that an annual safety/biosafety refresher course is conducted for all staff handling specimens, isolates, or chemicals?</v>
      </c>
      <c r="C114" s="380">
        <f>Safety!C43</f>
        <v>0</v>
      </c>
      <c r="D114" s="89" t="s">
        <v>4892</v>
      </c>
      <c r="E114" s="376" t="str">
        <f t="shared" si="17"/>
        <v>'</v>
      </c>
      <c r="F114" s="89">
        <f t="shared" si="12"/>
        <v>0</v>
      </c>
      <c r="G114" s="89" t="s">
        <v>2392</v>
      </c>
      <c r="H114" s="379" t="s">
        <v>1865</v>
      </c>
      <c r="N114" s="107"/>
    </row>
    <row r="115" spans="1:14">
      <c r="N115" s="107"/>
    </row>
    <row r="116" spans="1:14">
      <c r="C116" s="192" t="str">
        <f>Language!A296</f>
        <v>Total number of Red Flags</v>
      </c>
      <c r="D116" s="192"/>
      <c r="E116" s="183">
        <f>SUM(F3:F116)</f>
        <v>0</v>
      </c>
      <c r="N116" s="107"/>
    </row>
    <row r="117" spans="1:14">
      <c r="B117" s="409" t="str">
        <f>Language!A285</f>
        <v>Training Opportunities highlight areas where sufficient training is frequently lacking</v>
      </c>
      <c r="C117" s="161"/>
      <c r="D117" s="40"/>
      <c r="E117" s="189"/>
      <c r="F117" s="161"/>
      <c r="G117" s="161"/>
      <c r="H117" s="345"/>
      <c r="I117" s="65"/>
    </row>
    <row r="118" spans="1:14">
      <c r="B118" s="45" t="str">
        <f>Language!A294</f>
        <v>Training Opportunities</v>
      </c>
      <c r="C118" s="277" t="str">
        <f>Language!A288</f>
        <v>Response</v>
      </c>
      <c r="D118" s="277" t="str">
        <f>Language!A289</f>
        <v>Trigger</v>
      </c>
      <c r="E118" s="189"/>
      <c r="F118" s="161"/>
      <c r="G118" s="277" t="str">
        <f>Language!A290</f>
        <v>Module</v>
      </c>
      <c r="H118" s="390" t="str">
        <f>Language!A291</f>
        <v>Question</v>
      </c>
      <c r="N118" s="107"/>
    </row>
    <row r="119" spans="1:14" ht="27.6" customHeight="1">
      <c r="A119" s="89" t="s">
        <v>1669</v>
      </c>
      <c r="B119" s="169" t="str">
        <f>'QA 4'!B6</f>
        <v>Is there documentation showing that the Quality Officers and Focal Points have received appropriate training in Quality Management Systems (QMS)?</v>
      </c>
      <c r="C119" s="89">
        <f>'QA 4'!C6</f>
        <v>0</v>
      </c>
      <c r="D119" s="386" t="s">
        <v>4897</v>
      </c>
      <c r="E119" s="387" t="str">
        <f>IF(C119=2,"Training Opportunity",IF(C119=3,"Training Opportunity","'"))</f>
        <v>'</v>
      </c>
      <c r="F119" s="89">
        <f t="shared" ref="F119" si="18">IF(E119="Training Opportunity",1,0)</f>
        <v>0</v>
      </c>
      <c r="G119" s="89" t="s">
        <v>2385</v>
      </c>
      <c r="H119" s="379" t="s">
        <v>464</v>
      </c>
      <c r="N119" s="107"/>
    </row>
    <row r="120" spans="1:14" ht="27.6" customHeight="1">
      <c r="A120" s="89" t="s">
        <v>1670</v>
      </c>
      <c r="B120" s="169" t="str">
        <f>'QA 4'!B12</f>
        <v xml:space="preserve">Is there documentation showing that the Supervisor/Quality Officer received training on how to effectively troubleshoot QC failures? </v>
      </c>
      <c r="C120" s="89">
        <f>'QA 4'!C12</f>
        <v>0</v>
      </c>
      <c r="D120" s="386" t="s">
        <v>4897</v>
      </c>
      <c r="E120" s="387" t="str">
        <f t="shared" ref="E120:E127" si="19">IF(C120=2,"Training Opportunity",IF(C120=3,"Training Opportunity","'"))</f>
        <v>'</v>
      </c>
      <c r="F120" s="89">
        <f t="shared" ref="F120:F128" si="20">IF(E120="Training Opportunity",1,0)</f>
        <v>0</v>
      </c>
      <c r="G120" s="89" t="s">
        <v>2385</v>
      </c>
      <c r="H120" s="379" t="s">
        <v>1072</v>
      </c>
      <c r="N120" s="107"/>
    </row>
    <row r="121" spans="1:14" ht="27.6" customHeight="1">
      <c r="A121" s="89" t="s">
        <v>1671</v>
      </c>
      <c r="B121" s="169" t="str">
        <f>'QA 4'!B39</f>
        <v>Is there evidence the supervisor or Quality Officer has received adequate training on how to perform root-cause analysis of QC failures?</v>
      </c>
      <c r="C121" s="191">
        <f>'QA 4'!C39</f>
        <v>0</v>
      </c>
      <c r="D121" s="386" t="s">
        <v>4897</v>
      </c>
      <c r="E121" s="387" t="str">
        <f t="shared" si="19"/>
        <v>'</v>
      </c>
      <c r="F121" s="89">
        <f t="shared" si="20"/>
        <v>0</v>
      </c>
      <c r="G121" s="89" t="s">
        <v>2385</v>
      </c>
      <c r="H121" s="379" t="s">
        <v>480</v>
      </c>
      <c r="N121" s="107"/>
    </row>
    <row r="122" spans="1:14" ht="27.6" customHeight="1">
      <c r="A122" s="89" t="s">
        <v>1672</v>
      </c>
      <c r="B122" s="169" t="str">
        <f>'QA 4'!B65</f>
        <v>Is there evidence the supervisor or Quality Officer has received adequate training on how to perform root-cause analysis for EQA failures?</v>
      </c>
      <c r="C122" s="191">
        <f>'QA 4'!C65</f>
        <v>0</v>
      </c>
      <c r="D122" s="386" t="s">
        <v>4897</v>
      </c>
      <c r="E122" s="387" t="str">
        <f t="shared" si="19"/>
        <v>'</v>
      </c>
      <c r="F122" s="89">
        <f t="shared" si="20"/>
        <v>0</v>
      </c>
      <c r="G122" s="89" t="s">
        <v>2385</v>
      </c>
      <c r="H122" s="379" t="s">
        <v>491</v>
      </c>
      <c r="N122" s="107"/>
    </row>
    <row r="123" spans="1:14" ht="27.6" customHeight="1">
      <c r="A123" s="89" t="s">
        <v>1673</v>
      </c>
      <c r="B123" s="169" t="str">
        <f>'Processing 9'!B39</f>
        <v xml:space="preserve">Have technologists been adequately trained to recognize a poorly collected urine specimen (predominance of fecal or skin flora) based on the relative quantities, types, and mix of organisms present? </v>
      </c>
      <c r="C123" s="191">
        <f>'Processing 9'!C39</f>
        <v>0</v>
      </c>
      <c r="D123" s="386" t="s">
        <v>4897</v>
      </c>
      <c r="E123" s="387" t="str">
        <f t="shared" si="19"/>
        <v>'</v>
      </c>
      <c r="F123" s="89">
        <f t="shared" si="20"/>
        <v>0</v>
      </c>
      <c r="G123" s="89" t="s">
        <v>2387</v>
      </c>
      <c r="H123" s="379" t="s">
        <v>1187</v>
      </c>
      <c r="N123" s="107"/>
    </row>
    <row r="124" spans="1:14" ht="27.6" customHeight="1">
      <c r="A124" s="89" t="s">
        <v>1674</v>
      </c>
      <c r="B124" s="172" t="str">
        <f>'Basic AST 11'!B67</f>
        <v>Is there evidence that microbiology staff have received adequate training to recognize intrinsic resistance patterns? (Check SOPs and training/competence assessment records )</v>
      </c>
      <c r="C124" s="89">
        <f>'Basic AST 11'!C67</f>
        <v>0</v>
      </c>
      <c r="D124" s="386" t="s">
        <v>4897</v>
      </c>
      <c r="E124" s="387" t="str">
        <f t="shared" si="19"/>
        <v>'</v>
      </c>
      <c r="F124" s="89">
        <f t="shared" si="20"/>
        <v>0</v>
      </c>
      <c r="G124" s="89" t="s">
        <v>2389</v>
      </c>
      <c r="H124" s="379" t="s">
        <v>1403</v>
      </c>
      <c r="N124" s="107"/>
    </row>
    <row r="125" spans="1:14" ht="41.4" customHeight="1">
      <c r="A125" s="89" t="s">
        <v>1675</v>
      </c>
      <c r="B125" s="169" t="str">
        <f>'Basic AST 11'!B71</f>
        <v>Is there evidence that microbiology staff have received adequate training to recognize unusual or unexpected AST results that might require investigation? (e.g. Klebsiella spp. S to ampicillin; Staphylococcus spp. I/R to vancomycin)</v>
      </c>
      <c r="C125" s="191">
        <f>'Basic AST 11'!C71</f>
        <v>0</v>
      </c>
      <c r="D125" s="386" t="s">
        <v>4897</v>
      </c>
      <c r="E125" s="387" t="str">
        <f t="shared" si="19"/>
        <v>'</v>
      </c>
      <c r="F125" s="89">
        <f t="shared" si="20"/>
        <v>0</v>
      </c>
      <c r="G125" s="89" t="s">
        <v>2389</v>
      </c>
      <c r="H125" s="379" t="s">
        <v>1405</v>
      </c>
      <c r="N125" s="107"/>
    </row>
    <row r="126" spans="1:14">
      <c r="A126" s="89" t="s">
        <v>1676</v>
      </c>
      <c r="B126" s="169" t="str">
        <f>'Basic AST 11'!B79</f>
        <v>Is there evidence that the supervisor received appropriate training on how to recognize unusual AST findings?</v>
      </c>
      <c r="C126" s="191">
        <f>'Basic AST 11'!C79</f>
        <v>0</v>
      </c>
      <c r="D126" s="386" t="s">
        <v>4897</v>
      </c>
      <c r="E126" s="387" t="str">
        <f t="shared" si="19"/>
        <v>'</v>
      </c>
      <c r="F126" s="89">
        <f t="shared" si="20"/>
        <v>0</v>
      </c>
      <c r="G126" s="89" t="s">
        <v>2389</v>
      </c>
      <c r="H126" s="379" t="s">
        <v>1411</v>
      </c>
      <c r="N126" s="107"/>
    </row>
    <row r="127" spans="1:14" ht="27.6" customHeight="1">
      <c r="A127" s="89" t="s">
        <v>2058</v>
      </c>
      <c r="B127" s="169" t="str">
        <f>'Basic AST 11'!B91</f>
        <v>Is there evidence that microbiology staff have received adequate training on how to use the CLSI M100 or EUCAST documents effectively? (1: Yes - 2: Some, but would like additional training - 3: No)</v>
      </c>
      <c r="C127" s="191">
        <f>'Basic AST 11'!C91</f>
        <v>0</v>
      </c>
      <c r="D127" s="386" t="s">
        <v>4897</v>
      </c>
      <c r="E127" s="387" t="str">
        <f t="shared" si="19"/>
        <v>'</v>
      </c>
      <c r="F127" s="89">
        <f t="shared" si="20"/>
        <v>0</v>
      </c>
      <c r="G127" s="89" t="s">
        <v>2389</v>
      </c>
      <c r="H127" s="379" t="s">
        <v>1417</v>
      </c>
      <c r="N127" s="107"/>
    </row>
    <row r="128" spans="1:14" ht="27.6" customHeight="1">
      <c r="A128" s="89" t="s">
        <v>2273</v>
      </c>
      <c r="B128" s="169" t="str">
        <f>'AST Expert rules 12'!B95</f>
        <v>Do laboratory staff understand the current limitations associated with colistin AST? (i.e., the risk of false susceptible results when using disk diffusion, gradient strip, or automated methods.)</v>
      </c>
      <c r="C128" s="191">
        <f>'AST Expert rules 12'!C95</f>
        <v>0</v>
      </c>
      <c r="D128" s="89" t="s">
        <v>4892</v>
      </c>
      <c r="E128" s="387" t="str">
        <f>IF(C128="No","Training Opportunity","'")</f>
        <v>'</v>
      </c>
      <c r="F128" s="89">
        <f t="shared" si="20"/>
        <v>0</v>
      </c>
      <c r="G128" s="89" t="s">
        <v>2390</v>
      </c>
      <c r="H128" s="379" t="s">
        <v>1476</v>
      </c>
      <c r="N128" s="107"/>
    </row>
    <row r="129" spans="1:14">
      <c r="C129" s="19"/>
      <c r="N129" s="107"/>
    </row>
    <row r="130" spans="1:14">
      <c r="C130" s="192" t="str">
        <f>Language!A297</f>
        <v>Total number of Training Opportunities</v>
      </c>
      <c r="D130" s="192"/>
      <c r="E130" s="183">
        <f>SUM(F119:F128)</f>
        <v>0</v>
      </c>
      <c r="N130" s="107"/>
    </row>
    <row r="131" spans="1:14">
      <c r="B131" s="669" t="str">
        <f>Language!A286</f>
        <v>System Flags highlight problems with the Hospital System or with National Systems. Lab leadership may need to reach out to Hospital or National leadership for assistance to change</v>
      </c>
      <c r="C131" s="669"/>
      <c r="D131" s="40"/>
      <c r="E131" s="189"/>
      <c r="F131" s="161"/>
      <c r="G131" s="161"/>
      <c r="H131" s="345"/>
      <c r="I131" s="65"/>
    </row>
    <row r="132" spans="1:14">
      <c r="A132" s="409"/>
      <c r="B132" s="409"/>
      <c r="C132" s="409"/>
      <c r="N132" s="107"/>
    </row>
    <row r="133" spans="1:14">
      <c r="A133" s="176"/>
      <c r="B133" s="45" t="str">
        <f>Language!A295</f>
        <v>System Flag</v>
      </c>
      <c r="C133" s="277" t="str">
        <f>Language!A288</f>
        <v>Response</v>
      </c>
      <c r="D133" s="277" t="str">
        <f>Language!A289</f>
        <v>Trigger</v>
      </c>
      <c r="E133" s="189"/>
      <c r="F133" s="161"/>
      <c r="G133" s="277" t="str">
        <f>Language!A290</f>
        <v>Module</v>
      </c>
      <c r="H133" s="390" t="str">
        <f>Language!A291</f>
        <v>Question</v>
      </c>
      <c r="N133" s="107"/>
    </row>
    <row r="134" spans="1:14" ht="27.6" customHeight="1">
      <c r="A134" s="370" t="s">
        <v>1677</v>
      </c>
      <c r="B134" s="169" t="str">
        <f>'Facility 1'!B14</f>
        <v>In the last 6 months, has prolonged power failure disrupted the ability to provide routine bacteriology services?</v>
      </c>
      <c r="C134" s="191">
        <f>'Facility 1'!F14</f>
        <v>0</v>
      </c>
      <c r="D134" s="89" t="s">
        <v>4894</v>
      </c>
      <c r="E134" s="388" t="str">
        <f>IF(C134="Yes","System Flag","'")</f>
        <v>'</v>
      </c>
      <c r="F134" s="89">
        <f t="shared" ref="F134:F157" si="21">IF(E134="System Flag",1,0)</f>
        <v>0</v>
      </c>
      <c r="G134" s="89" t="s">
        <v>2383</v>
      </c>
      <c r="H134" s="389" t="s">
        <v>352</v>
      </c>
      <c r="N134" s="107"/>
    </row>
    <row r="135" spans="1:14">
      <c r="A135" s="370" t="s">
        <v>1678</v>
      </c>
      <c r="B135" s="169" t="str">
        <f>'Facility 1'!B17</f>
        <v>Describe the internet service in the laboratory</v>
      </c>
      <c r="C135" s="191">
        <f>'Facility 1'!F17</f>
        <v>0</v>
      </c>
      <c r="D135" s="89" t="s">
        <v>4897</v>
      </c>
      <c r="E135" s="388" t="str">
        <f>IF(C135=2,"System Flag",IF(C135=3,"System Flag","'"))</f>
        <v>'</v>
      </c>
      <c r="F135" s="89"/>
      <c r="G135" s="89" t="s">
        <v>2383</v>
      </c>
      <c r="H135" s="370">
        <v>1.1200000000000001</v>
      </c>
      <c r="N135" s="107"/>
    </row>
    <row r="136" spans="1:14" ht="27.6" customHeight="1">
      <c r="A136" s="370" t="s">
        <v>1679</v>
      </c>
      <c r="B136" s="169" t="str">
        <f>'Facility 1'!B156</f>
        <v>In the last 6 months, has prolonged instrument failure disrupted the ability to provide routine bacteriology services?</v>
      </c>
      <c r="C136" s="191">
        <f>'Facility 1'!F156</f>
        <v>0</v>
      </c>
      <c r="D136" s="89" t="s">
        <v>4894</v>
      </c>
      <c r="E136" s="388" t="str">
        <f t="shared" ref="E136:E137" si="22">IF(C136="Yes","System Flag","'")</f>
        <v>'</v>
      </c>
      <c r="F136" s="89">
        <f t="shared" ref="F136:F137" si="23">IF(E136="System Flag",1,0)</f>
        <v>0</v>
      </c>
      <c r="G136" s="89" t="s">
        <v>2383</v>
      </c>
      <c r="H136" s="389" t="s">
        <v>1831</v>
      </c>
      <c r="N136" s="107"/>
    </row>
    <row r="137" spans="1:14" ht="27.6" customHeight="1">
      <c r="A137" s="370" t="s">
        <v>1680</v>
      </c>
      <c r="B137" s="169" t="str">
        <f>'Facility 1'!B168</f>
        <v>In the last 6 months, have any stock outs disrupted the lab's ability to provide routine bacteriology services?</v>
      </c>
      <c r="C137" s="191">
        <f>'Facility 1'!F168</f>
        <v>0</v>
      </c>
      <c r="D137" s="89" t="s">
        <v>4894</v>
      </c>
      <c r="E137" s="388" t="str">
        <f t="shared" si="22"/>
        <v>'</v>
      </c>
      <c r="F137" s="89">
        <f t="shared" si="23"/>
        <v>0</v>
      </c>
      <c r="G137" s="89" t="s">
        <v>2383</v>
      </c>
      <c r="H137" s="389" t="s">
        <v>2236</v>
      </c>
      <c r="N137" s="107"/>
    </row>
    <row r="138" spans="1:14">
      <c r="A138" s="370" t="s">
        <v>1681</v>
      </c>
      <c r="B138" s="172" t="str">
        <f>'LIS 2'!B6</f>
        <v>Does the laboratory use a computer-based Laboratory Information System (LIS)?</v>
      </c>
      <c r="C138" s="89">
        <f>'LIS 2'!C6</f>
        <v>0</v>
      </c>
      <c r="D138" s="89" t="s">
        <v>4892</v>
      </c>
      <c r="E138" s="388" t="str">
        <f t="shared" ref="E138:E147" si="24">IF(C138="No","System Flag","'")</f>
        <v>'</v>
      </c>
      <c r="F138" s="89">
        <f t="shared" si="21"/>
        <v>0</v>
      </c>
      <c r="G138" s="89" t="s">
        <v>2382</v>
      </c>
      <c r="H138" s="389" t="s">
        <v>386</v>
      </c>
      <c r="N138" s="107"/>
    </row>
    <row r="139" spans="1:14">
      <c r="A139" s="370" t="s">
        <v>1682</v>
      </c>
      <c r="B139" s="169" t="str">
        <f>'LIS 2'!B73</f>
        <v xml:space="preserve">Does the hospital use a Hospital Information System (HIS) or Electronic Medical Record (EMR)? </v>
      </c>
      <c r="C139" s="89">
        <f>'LIS 2'!C73</f>
        <v>0</v>
      </c>
      <c r="D139" s="89" t="s">
        <v>4892</v>
      </c>
      <c r="E139" s="388" t="str">
        <f t="shared" si="24"/>
        <v>'</v>
      </c>
      <c r="F139" s="89">
        <f t="shared" si="21"/>
        <v>0</v>
      </c>
      <c r="G139" s="89" t="s">
        <v>2382</v>
      </c>
      <c r="H139" s="389" t="s">
        <v>2245</v>
      </c>
    </row>
    <row r="140" spans="1:14">
      <c r="A140" s="370" t="s">
        <v>1683</v>
      </c>
      <c r="B140" s="169" t="str">
        <f>'Data Mgmt 3'!B5</f>
        <v>Are inpatients assigned a unique patient ID number upon admission to the hospital?</v>
      </c>
      <c r="C140" s="191">
        <f>'Data Mgmt 3'!C5</f>
        <v>0</v>
      </c>
      <c r="D140" s="89" t="s">
        <v>4892</v>
      </c>
      <c r="E140" s="388" t="str">
        <f t="shared" si="24"/>
        <v>'</v>
      </c>
      <c r="F140" s="89">
        <f t="shared" si="21"/>
        <v>0</v>
      </c>
      <c r="G140" s="89" t="s">
        <v>2384</v>
      </c>
      <c r="H140" s="389" t="s">
        <v>421</v>
      </c>
    </row>
    <row r="141" spans="1:14">
      <c r="A141" s="370" t="s">
        <v>1684</v>
      </c>
      <c r="B141" s="169" t="str">
        <f>'Data Mgmt 3'!B6</f>
        <v>Are outpatients assigned a unique patient ID number upon registration at the clinic?</v>
      </c>
      <c r="C141" s="191">
        <f>'Data Mgmt 3'!C6</f>
        <v>0</v>
      </c>
      <c r="D141" s="89" t="s">
        <v>4892</v>
      </c>
      <c r="E141" s="388" t="str">
        <f t="shared" si="24"/>
        <v>'</v>
      </c>
      <c r="F141" s="89">
        <f t="shared" si="21"/>
        <v>0</v>
      </c>
      <c r="G141" s="89" t="s">
        <v>2384</v>
      </c>
      <c r="H141" s="389" t="s">
        <v>422</v>
      </c>
    </row>
    <row r="142" spans="1:14" ht="27.6" customHeight="1">
      <c r="A142" s="370" t="s">
        <v>1685</v>
      </c>
      <c r="B142" s="169" t="str">
        <f>'Data Mgmt 3'!B7</f>
        <v>Are patient ID numbers assigned in such a way that no two patients are given the same number in the course of one year?</v>
      </c>
      <c r="C142" s="191">
        <f>'Data Mgmt 3'!C7</f>
        <v>0</v>
      </c>
      <c r="D142" s="89" t="s">
        <v>4892</v>
      </c>
      <c r="E142" s="388" t="str">
        <f t="shared" si="24"/>
        <v>'</v>
      </c>
      <c r="F142" s="89">
        <f t="shared" si="21"/>
        <v>0</v>
      </c>
      <c r="G142" s="89" t="s">
        <v>2384</v>
      </c>
      <c r="H142" s="389" t="s">
        <v>423</v>
      </c>
    </row>
    <row r="143" spans="1:14">
      <c r="A143" s="370" t="s">
        <v>1914</v>
      </c>
      <c r="B143" s="169" t="str">
        <f>'Data Mgmt 3'!B8</f>
        <v>Do patients retain the same patient ID number each time they are admitted to the hospital?</v>
      </c>
      <c r="C143" s="191">
        <f>'Data Mgmt 3'!C8</f>
        <v>0</v>
      </c>
      <c r="D143" s="89" t="s">
        <v>4892</v>
      </c>
      <c r="E143" s="388" t="str">
        <f t="shared" si="24"/>
        <v>'</v>
      </c>
      <c r="F143" s="89">
        <f t="shared" si="21"/>
        <v>0</v>
      </c>
      <c r="G143" s="89" t="s">
        <v>2384</v>
      </c>
      <c r="H143" s="389" t="s">
        <v>424</v>
      </c>
    </row>
    <row r="144" spans="1:14">
      <c r="A144" s="370" t="s">
        <v>2059</v>
      </c>
      <c r="B144" s="169" t="str">
        <f>'Data Mgmt 3'!B87</f>
        <v>Do laboratory computers have antivirus software?</v>
      </c>
      <c r="C144" s="191">
        <f>'Data Mgmt 3'!C87</f>
        <v>0</v>
      </c>
      <c r="D144" s="89" t="s">
        <v>4892</v>
      </c>
      <c r="E144" s="388" t="str">
        <f t="shared" si="24"/>
        <v>'</v>
      </c>
      <c r="F144" s="89">
        <f t="shared" si="21"/>
        <v>0</v>
      </c>
      <c r="G144" s="89" t="s">
        <v>2384</v>
      </c>
      <c r="H144" s="389" t="s">
        <v>1841</v>
      </c>
    </row>
    <row r="145" spans="1:8">
      <c r="A145" s="370" t="s">
        <v>2060</v>
      </c>
      <c r="B145" s="169" t="str">
        <f>'Data Mgmt 3'!B88</f>
        <v>Do laboratory computers have genuine (not pirated) Operating Systems?</v>
      </c>
      <c r="C145" s="191">
        <f>'Data Mgmt 3'!C88</f>
        <v>0</v>
      </c>
      <c r="D145" s="89" t="s">
        <v>4892</v>
      </c>
      <c r="E145" s="388" t="str">
        <f t="shared" ref="E145" si="25">IF(C145="No","System Flag","'")</f>
        <v>'</v>
      </c>
      <c r="F145" s="89">
        <f t="shared" si="21"/>
        <v>0</v>
      </c>
      <c r="G145" s="89" t="s">
        <v>2384</v>
      </c>
      <c r="H145" s="389" t="s">
        <v>1842</v>
      </c>
    </row>
    <row r="146" spans="1:8" ht="27.6" customHeight="1">
      <c r="A146" s="370" t="s">
        <v>2061</v>
      </c>
      <c r="B146" s="169" t="str">
        <f>'QA 4'!B22</f>
        <v>Does at least 50% of the technical staff possess formal education in microbiology or medical laboratory science? (Refer to the figure in column D)</v>
      </c>
      <c r="C146" s="191">
        <f>'QA 4'!F22</f>
        <v>0</v>
      </c>
      <c r="D146" s="89" t="s">
        <v>4892</v>
      </c>
      <c r="E146" s="388" t="str">
        <f t="shared" ref="E146" si="26">IF(C146="No","System Flag","'")</f>
        <v>'</v>
      </c>
      <c r="F146" s="89">
        <f t="shared" si="21"/>
        <v>0</v>
      </c>
      <c r="G146" s="89" t="s">
        <v>2385</v>
      </c>
      <c r="H146" s="379" t="s">
        <v>470</v>
      </c>
    </row>
    <row r="147" spans="1:8">
      <c r="A147" s="370" t="s">
        <v>2062</v>
      </c>
      <c r="B147" s="169" t="str">
        <f>'QA 4'!B23</f>
        <v>Is the lab sufficiently staffed to provide high quality services? (Including support staff)</v>
      </c>
      <c r="C147" s="89">
        <f>'QA 4'!C23</f>
        <v>0</v>
      </c>
      <c r="D147" s="89" t="s">
        <v>4892</v>
      </c>
      <c r="E147" s="388" t="str">
        <f t="shared" si="24"/>
        <v>'</v>
      </c>
      <c r="F147" s="89">
        <f t="shared" si="21"/>
        <v>0</v>
      </c>
      <c r="G147" s="89" t="s">
        <v>2385</v>
      </c>
      <c r="H147" s="379" t="s">
        <v>471</v>
      </c>
    </row>
    <row r="148" spans="1:8" ht="27.6" customHeight="1">
      <c r="A148" s="370" t="s">
        <v>2063</v>
      </c>
      <c r="B148" s="169" t="str">
        <f>'QA 4'!B47</f>
        <v xml:space="preserve">How many times per year does the lab currently receive EQA/PT challenges that include both bacterial identification &amp; AST? (Please do not include challenges designed to focus on a single organism, e.g., TB or N. gonorrhoeae) </v>
      </c>
      <c r="C148" s="89">
        <f>'QA 4'!C47</f>
        <v>0</v>
      </c>
      <c r="D148" s="386">
        <v>4</v>
      </c>
      <c r="E148" s="388" t="str">
        <f>IF(C148=4,"System Flag","'")</f>
        <v>'</v>
      </c>
      <c r="F148" s="89">
        <f t="shared" si="21"/>
        <v>0</v>
      </c>
      <c r="G148" s="89" t="s">
        <v>2385</v>
      </c>
      <c r="H148" s="379" t="s">
        <v>4899</v>
      </c>
    </row>
    <row r="149" spans="1:8">
      <c r="A149" s="370" t="s">
        <v>2064</v>
      </c>
      <c r="B149" s="169" t="str">
        <f>'QA 4'!B57</f>
        <v xml:space="preserve">On average, how long does the lab have to wait before receiving the results of their PT/EQA performance? </v>
      </c>
      <c r="C149" s="89">
        <f>'QA 4'!C57</f>
        <v>0</v>
      </c>
      <c r="D149" s="386" t="s">
        <v>4897</v>
      </c>
      <c r="E149" s="388" t="str">
        <f>IF(C149=2,"System Flag",IF(C149=3,"System Flag","'"))</f>
        <v>'</v>
      </c>
      <c r="F149" s="89">
        <f t="shared" si="21"/>
        <v>0</v>
      </c>
      <c r="G149" s="89" t="s">
        <v>2385</v>
      </c>
      <c r="H149" s="379" t="s">
        <v>486</v>
      </c>
    </row>
    <row r="150" spans="1:8">
      <c r="A150" s="370" t="s">
        <v>2065</v>
      </c>
      <c r="B150" s="169" t="str">
        <f>'Basic AST 11'!B88</f>
        <v xml:space="preserve">Is there internet in the lab to access free EUCAST PDFs or CLSI M100 online version? </v>
      </c>
      <c r="C150" s="89">
        <f>'Basic AST 11'!C88</f>
        <v>0</v>
      </c>
      <c r="D150" s="386" t="s">
        <v>4892</v>
      </c>
      <c r="E150" s="388" t="str">
        <f t="shared" ref="E150:E157" si="27">IF(C150="No","System Flag","'")</f>
        <v>'</v>
      </c>
      <c r="F150" s="89">
        <f t="shared" si="21"/>
        <v>0</v>
      </c>
      <c r="G150" s="89" t="s">
        <v>2389</v>
      </c>
      <c r="H150" s="379" t="s">
        <v>1416</v>
      </c>
    </row>
    <row r="151" spans="1:8" ht="27.6" customHeight="1">
      <c r="A151" s="370" t="s">
        <v>2066</v>
      </c>
      <c r="B151" s="169" t="str">
        <f>'AST Policy 13'!B35</f>
        <v>Does lab policy primarily determine which isolates receive AST, or is AST performed only when it is specifically requested by the doctor?</v>
      </c>
      <c r="C151" s="89">
        <f>'AST Policy 13'!C35</f>
        <v>0</v>
      </c>
      <c r="D151" s="386" t="s">
        <v>4897</v>
      </c>
      <c r="E151" s="388" t="str">
        <f>IF(C151=2,"System Flag",IF(C151=3,"System Flag","'"))</f>
        <v>'</v>
      </c>
      <c r="F151" s="89">
        <f t="shared" si="21"/>
        <v>0</v>
      </c>
      <c r="G151" s="89" t="s">
        <v>2391</v>
      </c>
      <c r="H151" s="389" t="s">
        <v>1534</v>
      </c>
    </row>
    <row r="152" spans="1:8" ht="27.6" customHeight="1">
      <c r="A152" s="370" t="s">
        <v>2067</v>
      </c>
      <c r="B152" s="169" t="str">
        <f>'AST Policy 13'!B37</f>
        <v>Does lab policy primarily determine which antibiotics to test and report, or does the lab only test and report the antibiotics specifically requested by the physician?</v>
      </c>
      <c r="C152" s="89">
        <f>'AST Policy 13'!C37</f>
        <v>0</v>
      </c>
      <c r="D152" s="386" t="s">
        <v>4897</v>
      </c>
      <c r="E152" s="388" t="str">
        <f>IF(C152=2,"System Flag",IF(C152=3,"System Flag","'"))</f>
        <v>'</v>
      </c>
      <c r="F152" s="89">
        <f t="shared" si="21"/>
        <v>0</v>
      </c>
      <c r="G152" s="89" t="s">
        <v>2391</v>
      </c>
      <c r="H152" s="389" t="s">
        <v>1535</v>
      </c>
    </row>
    <row r="153" spans="1:8">
      <c r="A153" s="370" t="s">
        <v>2068</v>
      </c>
      <c r="B153" s="169" t="str">
        <f>'AST Policy 13'!B44</f>
        <v>Does the hospital have an Antibiotic Stewardship Committee?</v>
      </c>
      <c r="C153" s="89">
        <f>'AST Policy 13'!C44</f>
        <v>0</v>
      </c>
      <c r="D153" s="386" t="s">
        <v>4892</v>
      </c>
      <c r="E153" s="388" t="str">
        <f t="shared" si="27"/>
        <v>'</v>
      </c>
      <c r="F153" s="89">
        <f t="shared" si="21"/>
        <v>0</v>
      </c>
      <c r="G153" s="89" t="s">
        <v>2391</v>
      </c>
      <c r="H153" s="389" t="s">
        <v>1538</v>
      </c>
    </row>
    <row r="154" spans="1:8">
      <c r="A154" s="370" t="s">
        <v>2069</v>
      </c>
      <c r="B154" s="169" t="str">
        <f>'AST Policy 13'!B45</f>
        <v>If the hospital has an Antibiotic Stewardship Committee, is a microbiologist a member?</v>
      </c>
      <c r="C154" s="89">
        <f>'AST Policy 13'!C45</f>
        <v>0</v>
      </c>
      <c r="D154" s="386" t="s">
        <v>4892</v>
      </c>
      <c r="E154" s="388" t="str">
        <f t="shared" si="27"/>
        <v>'</v>
      </c>
      <c r="F154" s="89">
        <f t="shared" si="21"/>
        <v>0</v>
      </c>
      <c r="G154" s="89" t="s">
        <v>2391</v>
      </c>
      <c r="H154" s="389" t="s">
        <v>1539</v>
      </c>
    </row>
    <row r="155" spans="1:8">
      <c r="A155" s="370" t="s">
        <v>2366</v>
      </c>
      <c r="B155" s="169" t="str">
        <f>'AST Policy 13'!B46</f>
        <v>Does the hospital have a Pharmacy and Therapeutics Committee?</v>
      </c>
      <c r="C155" s="89">
        <f>'AST Policy 13'!C46</f>
        <v>0</v>
      </c>
      <c r="D155" s="386" t="s">
        <v>4892</v>
      </c>
      <c r="E155" s="388" t="str">
        <f t="shared" si="27"/>
        <v>'</v>
      </c>
      <c r="F155" s="89">
        <f t="shared" si="21"/>
        <v>0</v>
      </c>
      <c r="G155" s="89" t="s">
        <v>2391</v>
      </c>
      <c r="H155" s="389" t="s">
        <v>1540</v>
      </c>
    </row>
    <row r="156" spans="1:8">
      <c r="A156" s="370" t="s">
        <v>2367</v>
      </c>
      <c r="B156" s="169" t="str">
        <f>'AST Policy 13'!B47</f>
        <v>If the hospital has a Pharmacy and Therapeutics Committee, is a microbiologist a member?</v>
      </c>
      <c r="C156" s="89">
        <f>'AST Policy 13'!C47</f>
        <v>0</v>
      </c>
      <c r="D156" s="386" t="s">
        <v>4892</v>
      </c>
      <c r="E156" s="388" t="str">
        <f t="shared" si="27"/>
        <v>'</v>
      </c>
      <c r="F156" s="89">
        <f t="shared" si="21"/>
        <v>0</v>
      </c>
      <c r="G156" s="89" t="s">
        <v>2391</v>
      </c>
      <c r="H156" s="389" t="s">
        <v>1541</v>
      </c>
    </row>
    <row r="157" spans="1:8" ht="41.4" customHeight="1">
      <c r="A157" s="370" t="s">
        <v>6721</v>
      </c>
      <c r="B157" s="169" t="str">
        <f>'AST Policy 13'!B48</f>
        <v>Does the hospital's Antibiotic Stewardship or Pharmacy and Therapeutic Committee meet at least annually to review national or international AST panel recommendations and modify them based on the hospital's formulary and cumulative antibiogram?</v>
      </c>
      <c r="C157" s="89">
        <f>'AST Policy 13'!C48</f>
        <v>0</v>
      </c>
      <c r="D157" s="386" t="s">
        <v>4892</v>
      </c>
      <c r="E157" s="388" t="str">
        <f t="shared" si="27"/>
        <v>'</v>
      </c>
      <c r="F157" s="89">
        <f t="shared" si="21"/>
        <v>0</v>
      </c>
      <c r="G157" s="89" t="s">
        <v>2391</v>
      </c>
      <c r="H157" s="389" t="s">
        <v>1542</v>
      </c>
    </row>
    <row r="159" spans="1:8">
      <c r="C159" s="192" t="str">
        <f>Language!A298</f>
        <v>Total number of System Flags</v>
      </c>
      <c r="D159" s="192"/>
      <c r="E159" s="183">
        <f>SUM(F134:F157)</f>
        <v>0</v>
      </c>
    </row>
  </sheetData>
  <sheetProtection algorithmName="SHA-256" hashValue="uucbDb1LqVxUq/8L3OzhtrwWokIQQ20wO6Hn1i4rwqU=" saltValue="Hpwt0gZNE8ajh31mFrWS4w==" spinCount="100000" sheet="1" selectLockedCells="1"/>
  <mergeCells count="1">
    <mergeCell ref="B131:C131"/>
  </mergeCells>
  <phoneticPr fontId="46" type="noConversion"/>
  <conditionalFormatting sqref="B119:B128">
    <cfRule type="expression" dxfId="55" priority="64">
      <formula>$E119="Training Opportunity"</formula>
    </cfRule>
  </conditionalFormatting>
  <conditionalFormatting sqref="B134:B157">
    <cfRule type="expression" dxfId="54" priority="63">
      <formula>$E134="System Flag"</formula>
    </cfRule>
  </conditionalFormatting>
  <conditionalFormatting sqref="B5">
    <cfRule type="expression" dxfId="53" priority="62">
      <formula>E$5="Red Flag"</formula>
    </cfRule>
  </conditionalFormatting>
  <conditionalFormatting sqref="B43">
    <cfRule type="expression" dxfId="52" priority="51">
      <formula>E47="Red Flag"</formula>
    </cfRule>
    <cfRule type="expression" dxfId="51" priority="52">
      <formula>E46="Red Flag"</formula>
    </cfRule>
    <cfRule type="expression" dxfId="50" priority="53">
      <formula>E45="Red Flag"</formula>
    </cfRule>
    <cfRule type="expression" dxfId="49" priority="56">
      <formula>E44="Red Flag"</formula>
    </cfRule>
  </conditionalFormatting>
  <conditionalFormatting sqref="B7:B42 B56:B64">
    <cfRule type="expression" dxfId="48" priority="55">
      <formula>$E7="Red Flag"</formula>
    </cfRule>
  </conditionalFormatting>
  <conditionalFormatting sqref="B44:B52">
    <cfRule type="expression" dxfId="47" priority="54">
      <formula>$E44="Red Flag"</formula>
    </cfRule>
  </conditionalFormatting>
  <conditionalFormatting sqref="B53:B54">
    <cfRule type="expression" dxfId="46" priority="48">
      <formula>E$54="Red Flag"</formula>
    </cfRule>
  </conditionalFormatting>
  <conditionalFormatting sqref="B66:B77">
    <cfRule type="expression" dxfId="45" priority="41">
      <formula>$E66="Red Flag"</formula>
    </cfRule>
  </conditionalFormatting>
  <conditionalFormatting sqref="B65">
    <cfRule type="expression" dxfId="44" priority="31">
      <formula>E75="Red Flag"</formula>
    </cfRule>
    <cfRule type="expression" dxfId="43" priority="32">
      <formula>E74="Red Flag"</formula>
    </cfRule>
    <cfRule type="expression" dxfId="42" priority="33">
      <formula>E73="Red Flag"</formula>
    </cfRule>
    <cfRule type="expression" dxfId="41" priority="34">
      <formula>E72="Red Flag"</formula>
    </cfRule>
    <cfRule type="expression" dxfId="40" priority="35">
      <formula>E71="Red Flag"</formula>
    </cfRule>
    <cfRule type="expression" dxfId="39" priority="36">
      <formula>E70="Red Flag"</formula>
    </cfRule>
    <cfRule type="expression" dxfId="38" priority="37">
      <formula>E69="Red Flag"</formula>
    </cfRule>
    <cfRule type="expression" dxfId="37" priority="38">
      <formula>E68="Red Flag"</formula>
    </cfRule>
    <cfRule type="expression" dxfId="36" priority="39">
      <formula>E67="Red Flag"</formula>
    </cfRule>
    <cfRule type="expression" dxfId="35" priority="40">
      <formula>E66="Red Flag"</formula>
    </cfRule>
  </conditionalFormatting>
  <conditionalFormatting sqref="B79:B87">
    <cfRule type="expression" dxfId="34" priority="30">
      <formula>$E79="Red Flag"</formula>
    </cfRule>
  </conditionalFormatting>
  <conditionalFormatting sqref="B78">
    <cfRule type="expression" dxfId="33" priority="22">
      <formula>E86="Red Flag"</formula>
    </cfRule>
    <cfRule type="expression" dxfId="32" priority="23">
      <formula>E85="Red Flag"</formula>
    </cfRule>
    <cfRule type="expression" dxfId="31" priority="24">
      <formula>E84="Red Flag"</formula>
    </cfRule>
    <cfRule type="expression" dxfId="30" priority="25">
      <formula>E83="Red Flag"</formula>
    </cfRule>
    <cfRule type="expression" dxfId="29" priority="26">
      <formula>E82="Red Flag"</formula>
    </cfRule>
    <cfRule type="expression" dxfId="28" priority="27">
      <formula>E81="Red Flag"</formula>
    </cfRule>
    <cfRule type="expression" dxfId="27" priority="28">
      <formula>E80="Red Flag"</formula>
    </cfRule>
    <cfRule type="expression" dxfId="26" priority="29">
      <formula>E79="Red Flag"</formula>
    </cfRule>
  </conditionalFormatting>
  <conditionalFormatting sqref="B89:B98">
    <cfRule type="expression" dxfId="25" priority="21">
      <formula>$E89="Red Flag"</formula>
    </cfRule>
  </conditionalFormatting>
  <conditionalFormatting sqref="B88">
    <cfRule type="expression" dxfId="24" priority="12">
      <formula>E97="Red Flag"</formula>
    </cfRule>
    <cfRule type="expression" dxfId="23" priority="13">
      <formula>E96="Red Flag"</formula>
    </cfRule>
    <cfRule type="expression" dxfId="22" priority="14">
      <formula>E95="Red Flag"</formula>
    </cfRule>
    <cfRule type="expression" dxfId="21" priority="15">
      <formula>E94="Red Flag"</formula>
    </cfRule>
    <cfRule type="expression" dxfId="20" priority="16">
      <formula>E93="Red Flag"</formula>
    </cfRule>
    <cfRule type="expression" dxfId="19" priority="17">
      <formula>E92="Red Flag"</formula>
    </cfRule>
    <cfRule type="expression" dxfId="18" priority="18">
      <formula>E91="Red Flag"</formula>
    </cfRule>
    <cfRule type="expression" dxfId="17" priority="19">
      <formula>E90="Red Flag"</formula>
    </cfRule>
    <cfRule type="expression" dxfId="16" priority="20">
      <formula>E89="Red Flag"</formula>
    </cfRule>
  </conditionalFormatting>
  <conditionalFormatting sqref="B100:B106">
    <cfRule type="expression" dxfId="15" priority="11">
      <formula>$E100="Red Flag"</formula>
    </cfRule>
  </conditionalFormatting>
  <conditionalFormatting sqref="B99">
    <cfRule type="expression" dxfId="14" priority="7">
      <formula>E103="Red Flag"</formula>
    </cfRule>
    <cfRule type="expression" dxfId="13" priority="8">
      <formula>E102="Red Flag"</formula>
    </cfRule>
    <cfRule type="expression" dxfId="12" priority="9">
      <formula>E101="Red Flag"</formula>
    </cfRule>
    <cfRule type="expression" dxfId="11" priority="10">
      <formula>E100="Red Flag"</formula>
    </cfRule>
  </conditionalFormatting>
  <conditionalFormatting sqref="B108:B114">
    <cfRule type="expression" dxfId="10" priority="6">
      <formula>$E108="Red Flag"</formula>
    </cfRule>
  </conditionalFormatting>
  <conditionalFormatting sqref="B107">
    <cfRule type="expression" dxfId="9" priority="2">
      <formula>E111="Red Flag"</formula>
    </cfRule>
    <cfRule type="expression" dxfId="8" priority="3">
      <formula>E110="Red Flag"</formula>
    </cfRule>
    <cfRule type="expression" dxfId="7" priority="4">
      <formula>E109="Red Flag"</formula>
    </cfRule>
    <cfRule type="expression" dxfId="6" priority="5">
      <formula>E108="Red Flag"</formula>
    </cfRule>
  </conditionalFormatting>
  <conditionalFormatting sqref="B55">
    <cfRule type="expression" dxfId="5" priority="1472">
      <formula>#REF!="Red Flag"</formula>
    </cfRule>
    <cfRule type="expression" dxfId="4" priority="1473">
      <formula>E59="Red Flag"</formula>
    </cfRule>
    <cfRule type="expression" dxfId="3" priority="1474">
      <formula>E58="Red Flag"</formula>
    </cfRule>
    <cfRule type="expression" dxfId="2" priority="1475">
      <formula>E57="Red Flag"</formula>
    </cfRule>
    <cfRule type="expression" dxfId="1" priority="1476">
      <formula>E56="Red Flag"</formula>
    </cfRule>
  </conditionalFormatting>
  <conditionalFormatting sqref="B6">
    <cfRule type="expression" dxfId="0" priority="1">
      <formula>$E$7="Red Flag"</formula>
    </cfRule>
  </conditionalFormatting>
  <pageMargins left="0.25" right="0.25" top="0.75" bottom="0.75" header="0.3" footer="0.3"/>
  <pageSetup paperSize="9" scale="86" fitToHeight="10" orientation="landscape" r:id="rId1"/>
  <headerFooter>
    <oddFooter>&amp;C&amp;A -&amp;P</oddFooter>
  </headerFooter>
  <rowBreaks count="5" manualBreakCount="5">
    <brk id="29" max="7" man="1"/>
    <brk id="52" max="7" man="1"/>
    <brk id="86" max="7" man="1"/>
    <brk id="116" max="7" man="1"/>
    <brk id="130" max="7" man="1"/>
  </rowBreaks>
  <ignoredErrors>
    <ignoredError sqref="H5 H66:H77 H79:H87 H119:H128 H136:H157 H7:H64 H134" numberStoredAsText="1"/>
    <ignoredError sqref="E17:E18 E9 E19:E20 E21 E37 E105 E61 E150 E135" formula="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A4"/>
  <sheetViews>
    <sheetView zoomScaleNormal="100" zoomScalePageLayoutView="80" workbookViewId="0"/>
  </sheetViews>
  <sheetFormatPr defaultColWidth="8.796875" defaultRowHeight="15.6"/>
  <sheetData>
    <row r="1" spans="1:1">
      <c r="A1" s="410" t="str">
        <f>Language!A275</f>
        <v>CONCLUSIONS</v>
      </c>
    </row>
    <row r="2" spans="1:1">
      <c r="A2" s="5" t="str">
        <f>Language!A276</f>
        <v>Use the embedded MS Word file to summarize the main findings and recommendations in narrative format.</v>
      </c>
    </row>
    <row r="3" spans="1:1">
      <c r="A3" s="5" t="str">
        <f>Language!A277</f>
        <v>To enter findings, double click inside the box below.</v>
      </c>
    </row>
    <row r="4" spans="1:1">
      <c r="A4" s="5" t="str">
        <f>Language!A278</f>
        <v>To exit and save, click anywhere in the Excel grid.</v>
      </c>
    </row>
  </sheetData>
  <sheetProtection algorithmName="SHA-256" hashValue="5ct9e5CSvcr5Tk2L5M9eUAttxTI1jqT34/ULQsFd0kQ=" saltValue="FqYHwHRrfAVMT3ndUaY15w==" spinCount="100000" sheet="1" selectLockedCells="1"/>
  <phoneticPr fontId="46" type="noConversion"/>
  <pageMargins left="0.25" right="0.25" top="0.75000000000000011" bottom="0.75000000000000011" header="0.30000000000000004" footer="0.30000000000000004"/>
  <pageSetup paperSize="9" orientation="portrait" r:id="rId1"/>
  <headerFooter>
    <oddFooter>&amp;C&amp;A - &amp;P</oddFooter>
  </headerFooter>
  <drawing r:id="rId2"/>
  <legacyDrawing r:id="rId3"/>
  <oleObjects>
    <mc:AlternateContent xmlns:mc="http://schemas.openxmlformats.org/markup-compatibility/2006">
      <mc:Choice Requires="x14">
        <oleObject progId="Word.Document.12" shapeId="26627" r:id="rId4">
          <objectPr locked="0" defaultSize="0" autoPict="0" r:id="rId5">
            <anchor moveWithCells="1">
              <from>
                <xdr:col>0</xdr:col>
                <xdr:colOff>60960</xdr:colOff>
                <xdr:row>4</xdr:row>
                <xdr:rowOff>91440</xdr:rowOff>
              </from>
              <to>
                <xdr:col>9</xdr:col>
                <xdr:colOff>518160</xdr:colOff>
                <xdr:row>42</xdr:row>
                <xdr:rowOff>76200</xdr:rowOff>
              </to>
            </anchor>
          </objectPr>
        </oleObject>
      </mc:Choice>
      <mc:Fallback>
        <oleObject progId="Word.Document.12" shapeId="26627"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B43"/>
  <sheetViews>
    <sheetView zoomScaleNormal="100" zoomScalePageLayoutView="80" workbookViewId="0"/>
  </sheetViews>
  <sheetFormatPr defaultColWidth="8.796875" defaultRowHeight="15.6"/>
  <cols>
    <col min="1" max="2" width="59.19921875" customWidth="1"/>
  </cols>
  <sheetData>
    <row r="1" spans="1:2">
      <c r="A1" s="410" t="str">
        <f>Language!A279</f>
        <v>PHOTOGRAPHS</v>
      </c>
    </row>
    <row r="2" spans="1:2">
      <c r="A2" s="5" t="str">
        <f>Language!A280</f>
        <v>Before inserting photos, resize them to less than 500KB/2MP (size “Medium”) in order to keep the final Excel file size small</v>
      </c>
    </row>
    <row r="3" spans="1:2">
      <c r="A3" s="5" t="str">
        <f>Language!A281</f>
        <v>Up to 6 photographs may be inserted.</v>
      </c>
    </row>
    <row r="4" spans="1:2">
      <c r="A4" s="5" t="str">
        <f>Language!A282</f>
        <v>Obtain permission before taking photos, and avoid capturing any patient identifiers</v>
      </c>
    </row>
    <row r="5" spans="1:2">
      <c r="A5" s="364"/>
      <c r="B5" s="364"/>
    </row>
    <row r="6" spans="1:2">
      <c r="A6" s="365"/>
      <c r="B6" s="365"/>
    </row>
    <row r="7" spans="1:2">
      <c r="A7" s="365"/>
      <c r="B7" s="365"/>
    </row>
    <row r="8" spans="1:2">
      <c r="A8" s="365"/>
      <c r="B8" s="365"/>
    </row>
    <row r="9" spans="1:2">
      <c r="A9" s="365"/>
      <c r="B9" s="365"/>
    </row>
    <row r="10" spans="1:2">
      <c r="A10" s="365"/>
      <c r="B10" s="365"/>
    </row>
    <row r="11" spans="1:2">
      <c r="A11" s="365"/>
      <c r="B11" s="365"/>
    </row>
    <row r="12" spans="1:2">
      <c r="A12" s="365"/>
      <c r="B12" s="365"/>
    </row>
    <row r="13" spans="1:2">
      <c r="A13" s="365"/>
      <c r="B13" s="365"/>
    </row>
    <row r="14" spans="1:2">
      <c r="A14" s="365"/>
      <c r="B14" s="365"/>
    </row>
    <row r="15" spans="1:2">
      <c r="A15" s="365"/>
      <c r="B15" s="365"/>
    </row>
    <row r="16" spans="1:2">
      <c r="A16" s="365"/>
      <c r="B16" s="365"/>
    </row>
    <row r="17" spans="1:2">
      <c r="A17" s="366"/>
      <c r="B17" s="366"/>
    </row>
    <row r="18" spans="1:2">
      <c r="A18" s="364"/>
      <c r="B18" s="364"/>
    </row>
    <row r="19" spans="1:2">
      <c r="A19" s="365"/>
      <c r="B19" s="365"/>
    </row>
    <row r="20" spans="1:2">
      <c r="A20" s="365"/>
      <c r="B20" s="365"/>
    </row>
    <row r="21" spans="1:2">
      <c r="A21" s="365"/>
      <c r="B21" s="365"/>
    </row>
    <row r="22" spans="1:2">
      <c r="A22" s="365"/>
      <c r="B22" s="365"/>
    </row>
    <row r="23" spans="1:2">
      <c r="A23" s="365"/>
      <c r="B23" s="365"/>
    </row>
    <row r="24" spans="1:2">
      <c r="A24" s="365"/>
      <c r="B24" s="365"/>
    </row>
    <row r="25" spans="1:2">
      <c r="A25" s="365"/>
      <c r="B25" s="365"/>
    </row>
    <row r="26" spans="1:2">
      <c r="A26" s="365"/>
      <c r="B26" s="365"/>
    </row>
    <row r="27" spans="1:2">
      <c r="A27" s="365"/>
      <c r="B27" s="365"/>
    </row>
    <row r="28" spans="1:2">
      <c r="A28" s="365"/>
      <c r="B28" s="365"/>
    </row>
    <row r="29" spans="1:2">
      <c r="A29" s="365"/>
      <c r="B29" s="365"/>
    </row>
    <row r="30" spans="1:2">
      <c r="A30" s="366"/>
      <c r="B30" s="366"/>
    </row>
    <row r="31" spans="1:2">
      <c r="A31" s="364"/>
      <c r="B31" s="364"/>
    </row>
    <row r="32" spans="1:2">
      <c r="A32" s="365"/>
      <c r="B32" s="365"/>
    </row>
    <row r="33" spans="1:2">
      <c r="A33" s="365"/>
      <c r="B33" s="365"/>
    </row>
    <row r="34" spans="1:2">
      <c r="A34" s="365"/>
      <c r="B34" s="365"/>
    </row>
    <row r="35" spans="1:2">
      <c r="A35" s="365"/>
      <c r="B35" s="365"/>
    </row>
    <row r="36" spans="1:2">
      <c r="A36" s="365"/>
      <c r="B36" s="365"/>
    </row>
    <row r="37" spans="1:2">
      <c r="A37" s="365"/>
      <c r="B37" s="365"/>
    </row>
    <row r="38" spans="1:2">
      <c r="A38" s="365"/>
      <c r="B38" s="365"/>
    </row>
    <row r="39" spans="1:2">
      <c r="A39" s="365"/>
      <c r="B39" s="365"/>
    </row>
    <row r="40" spans="1:2">
      <c r="A40" s="365"/>
      <c r="B40" s="365"/>
    </row>
    <row r="41" spans="1:2">
      <c r="A41" s="365"/>
      <c r="B41" s="365"/>
    </row>
    <row r="42" spans="1:2">
      <c r="A42" s="365"/>
      <c r="B42" s="365"/>
    </row>
    <row r="43" spans="1:2">
      <c r="A43" s="366"/>
      <c r="B43" s="366"/>
    </row>
  </sheetData>
  <sheetProtection algorithmName="SHA-256" hashValue="IpWVcGEj7CRR53RKTY8zm7O5EGaNcBIgsvyQsX+4Zgg=" saltValue="4SPPryg6YimPZ/6kf428Ug==" spinCount="100000" sheet="1" objects="1" scenarios="1"/>
  <phoneticPr fontId="46" type="noConversion"/>
  <pageMargins left="0.25" right="0.25" top="0.75000000000000011" bottom="0.75000000000000011" header="0.30000000000000004" footer="0.30000000000000004"/>
  <pageSetup paperSize="9" fitToHeight="2" orientation="landscape" r:id="rId1"/>
  <headerFooter>
    <oddFooter>&amp;C&amp;A -&amp;P</oddFooter>
  </headerFooter>
  <rowBreaks count="1" manualBreakCount="1">
    <brk id="3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rgb="FFFF0000"/>
    <pageSetUpPr fitToPage="1"/>
  </sheetPr>
  <dimension ref="A1:VO28"/>
  <sheetViews>
    <sheetView view="pageBreakPreview" zoomScale="80" zoomScaleNormal="90" zoomScaleSheetLayoutView="80" zoomScalePageLayoutView="90" workbookViewId="0"/>
  </sheetViews>
  <sheetFormatPr defaultColWidth="11.19921875" defaultRowHeight="15.6"/>
  <cols>
    <col min="2" max="53" width="5.69921875" style="211" customWidth="1"/>
    <col min="54" max="54" width="5.69921875" style="286" customWidth="1"/>
    <col min="55" max="74" width="5.69921875" style="211" customWidth="1"/>
    <col min="75" max="75" width="5.19921875" style="211" bestFit="1" customWidth="1"/>
    <col min="76" max="76" width="4.796875" style="211" bestFit="1" customWidth="1"/>
    <col min="77" max="77" width="4.296875" style="211" bestFit="1" customWidth="1"/>
    <col min="78" max="78" width="5.19921875" style="211" bestFit="1" customWidth="1"/>
    <col min="79" max="79" width="6" style="211" bestFit="1" customWidth="1"/>
    <col min="80" max="80" width="5.69921875" style="211" bestFit="1" customWidth="1"/>
    <col min="81" max="105" width="4" style="211" bestFit="1" customWidth="1"/>
    <col min="106" max="106" width="4.796875" style="211" bestFit="1" customWidth="1"/>
    <col min="107" max="130" width="4" style="211" bestFit="1" customWidth="1"/>
    <col min="131" max="131" width="7.69921875" style="211" bestFit="1" customWidth="1"/>
    <col min="132" max="132" width="7.796875" style="211" bestFit="1" customWidth="1"/>
    <col min="133" max="133" width="6.5" style="211" bestFit="1" customWidth="1"/>
    <col min="134" max="134" width="6.69921875" style="211" bestFit="1" customWidth="1"/>
    <col min="135" max="135" width="5.19921875" style="211" bestFit="1" customWidth="1"/>
    <col min="136" max="136" width="5.5" style="211" bestFit="1" customWidth="1"/>
    <col min="137" max="137" width="6.69921875" style="211" bestFit="1" customWidth="1"/>
    <col min="138" max="138" width="7" style="211" bestFit="1" customWidth="1"/>
    <col min="139" max="140" width="4.296875" style="211" bestFit="1" customWidth="1"/>
    <col min="141" max="141" width="5.19921875" style="211" bestFit="1" customWidth="1"/>
    <col min="142" max="142" width="5.19921875" style="211" customWidth="1"/>
    <col min="143" max="143" width="4.69921875" style="211" customWidth="1"/>
    <col min="144" max="144" width="4.296875" style="211" customWidth="1"/>
    <col min="145" max="145" width="7.19921875" style="211" bestFit="1" customWidth="1"/>
    <col min="146" max="147" width="4.296875" style="211" bestFit="1" customWidth="1"/>
    <col min="148" max="148" width="5.19921875" style="211" bestFit="1" customWidth="1"/>
    <col min="149" max="149" width="4.296875" style="211" bestFit="1" customWidth="1"/>
    <col min="150" max="150" width="5.19921875" style="211" bestFit="1" customWidth="1"/>
    <col min="151" max="151" width="6.69921875" style="211" bestFit="1" customWidth="1"/>
    <col min="152" max="152" width="6.796875" style="211" bestFit="1" customWidth="1"/>
    <col min="153" max="159" width="4.296875" style="211" bestFit="1" customWidth="1"/>
    <col min="160" max="160" width="4.796875" style="211" bestFit="1" customWidth="1"/>
    <col min="161" max="161" width="4.69921875" style="211" bestFit="1" customWidth="1"/>
    <col min="162" max="162" width="6.19921875" style="211" bestFit="1" customWidth="1"/>
    <col min="163" max="163" width="6.69921875" style="211" bestFit="1" customWidth="1"/>
    <col min="164" max="164" width="6.796875" style="211" bestFit="1" customWidth="1"/>
    <col min="165" max="166" width="4.296875" style="211" bestFit="1" customWidth="1"/>
    <col min="167" max="167" width="8.19921875" style="211" bestFit="1" customWidth="1"/>
    <col min="168" max="168" width="4.296875" style="211" bestFit="1" customWidth="1"/>
    <col min="169" max="169" width="5.69921875" style="211" bestFit="1" customWidth="1"/>
    <col min="170" max="171" width="4.296875" style="211" bestFit="1" customWidth="1"/>
    <col min="172" max="172" width="5.296875" style="211" bestFit="1" customWidth="1"/>
    <col min="173" max="173" width="4.69921875" style="211" bestFit="1" customWidth="1"/>
    <col min="174" max="174" width="4.296875" style="211" bestFit="1" customWidth="1"/>
    <col min="175" max="175" width="7.19921875" style="211" bestFit="1" customWidth="1"/>
    <col min="176" max="178" width="4.296875" style="211" bestFit="1" customWidth="1"/>
    <col min="179" max="179" width="4.296875" style="211" customWidth="1"/>
    <col min="180" max="181" width="4.296875" style="211" bestFit="1" customWidth="1"/>
    <col min="182" max="182" width="5.5" style="211" bestFit="1" customWidth="1"/>
    <col min="183" max="183" width="4.296875" style="211" bestFit="1" customWidth="1"/>
    <col min="184" max="184" width="6.69921875" style="211" bestFit="1" customWidth="1"/>
    <col min="185" max="185" width="5" style="211" bestFit="1" customWidth="1"/>
    <col min="186" max="186" width="6.296875" style="211" bestFit="1" customWidth="1"/>
    <col min="187" max="187" width="4.796875" style="211" bestFit="1" customWidth="1"/>
    <col min="188" max="188" width="5.296875" style="211" bestFit="1" customWidth="1"/>
    <col min="189" max="189" width="4.296875" style="211" bestFit="1" customWidth="1"/>
    <col min="190" max="190" width="5.19921875" style="211" bestFit="1" customWidth="1"/>
    <col min="191" max="191" width="5" style="211" bestFit="1" customWidth="1"/>
    <col min="192" max="192" width="5.296875" style="211" bestFit="1" customWidth="1"/>
    <col min="193" max="193" width="4.796875" style="211" bestFit="1" customWidth="1"/>
    <col min="194" max="202" width="5.19921875" style="211" bestFit="1" customWidth="1"/>
    <col min="203" max="204" width="6.19921875" style="211" bestFit="1" customWidth="1"/>
    <col min="205" max="210" width="4.296875" style="211" bestFit="1" customWidth="1"/>
    <col min="211" max="217" width="6.5" style="211" bestFit="1" customWidth="1"/>
    <col min="218" max="221" width="4.296875" style="211" bestFit="1" customWidth="1"/>
    <col min="222" max="226" width="7.69921875" style="211" bestFit="1" customWidth="1"/>
    <col min="227" max="227" width="6" style="211" customWidth="1"/>
    <col min="228" max="235" width="6" style="211" bestFit="1" customWidth="1"/>
    <col min="236" max="240" width="7.296875" style="211" bestFit="1" customWidth="1"/>
    <col min="241" max="245" width="5.796875" style="211" bestFit="1" customWidth="1"/>
    <col min="246" max="249" width="6.296875" style="211" bestFit="1" customWidth="1"/>
    <col min="250" max="258" width="4.296875" style="211" bestFit="1" customWidth="1"/>
    <col min="259" max="264" width="4.69921875" style="211" bestFit="1" customWidth="1"/>
    <col min="265" max="270" width="6.19921875" style="211" bestFit="1" customWidth="1"/>
    <col min="271" max="279" width="6" style="211" bestFit="1" customWidth="1"/>
    <col min="280" max="280" width="7" style="211" bestFit="1" customWidth="1"/>
    <col min="281" max="283" width="5.296875" style="211" bestFit="1" customWidth="1"/>
    <col min="284" max="287" width="5.796875" style="211" bestFit="1" customWidth="1"/>
    <col min="288" max="422" width="4.796875" style="211" customWidth="1"/>
    <col min="423" max="424" width="6" style="211" bestFit="1" customWidth="1"/>
    <col min="425" max="427" width="4.69921875" style="211" bestFit="1" customWidth="1"/>
    <col min="428" max="428" width="6" style="211" bestFit="1" customWidth="1"/>
    <col min="429" max="431" width="4.69921875" style="211" bestFit="1" customWidth="1"/>
    <col min="432" max="432" width="6" style="211" bestFit="1" customWidth="1"/>
    <col min="433" max="435" width="5.69921875" style="211" bestFit="1" customWidth="1"/>
    <col min="436" max="436" width="6" style="211" bestFit="1" customWidth="1"/>
    <col min="437" max="439" width="5.69921875" style="211" bestFit="1" customWidth="1"/>
    <col min="440" max="440" width="6" style="211" bestFit="1" customWidth="1"/>
    <col min="441" max="443" width="5.69921875" style="211" bestFit="1" customWidth="1"/>
    <col min="444" max="449" width="4.69921875" style="211" bestFit="1" customWidth="1"/>
    <col min="450" max="450" width="6" style="211" bestFit="1" customWidth="1"/>
    <col min="451" max="452" width="4.69921875" style="211" bestFit="1" customWidth="1"/>
    <col min="453" max="462" width="5.69921875" style="211" bestFit="1" customWidth="1"/>
    <col min="463" max="463" width="5.796875" style="211" bestFit="1" customWidth="1"/>
    <col min="464" max="465" width="6" style="211" bestFit="1" customWidth="1"/>
    <col min="466" max="466" width="5.69921875" style="211" bestFit="1" customWidth="1"/>
    <col min="467" max="467" width="6" style="211" bestFit="1" customWidth="1"/>
    <col min="468" max="468" width="5.69921875" style="211" bestFit="1" customWidth="1"/>
    <col min="469" max="470" width="6" style="211" bestFit="1" customWidth="1"/>
    <col min="471" max="475" width="5.69921875" style="211" bestFit="1" customWidth="1"/>
    <col min="476" max="476" width="8.296875" style="211" bestFit="1" customWidth="1"/>
    <col min="477" max="481" width="6" style="211" bestFit="1" customWidth="1"/>
    <col min="482" max="482" width="5.69921875" style="211" bestFit="1" customWidth="1"/>
    <col min="483" max="483" width="6" style="211" bestFit="1" customWidth="1"/>
    <col min="484" max="485" width="5.69921875" style="211" bestFit="1" customWidth="1"/>
    <col min="486" max="489" width="6" style="211" bestFit="1" customWidth="1"/>
    <col min="490" max="490" width="8.296875" style="211" bestFit="1" customWidth="1"/>
    <col min="491" max="491" width="8.69921875" style="211" bestFit="1" customWidth="1"/>
    <col min="492" max="492" width="8.296875" style="211" bestFit="1" customWidth="1"/>
    <col min="493" max="493" width="8.69921875" style="211" bestFit="1" customWidth="1"/>
    <col min="494" max="494" width="13.5" style="211" bestFit="1" customWidth="1"/>
    <col min="495" max="495" width="13.69921875" style="211" bestFit="1" customWidth="1"/>
    <col min="496" max="496" width="8.69921875" style="211" bestFit="1" customWidth="1"/>
    <col min="497" max="497" width="11.19921875" style="211" bestFit="1" customWidth="1"/>
    <col min="498" max="498" width="11" style="211" bestFit="1" customWidth="1"/>
    <col min="499" max="499" width="5.69921875" style="211" bestFit="1" customWidth="1"/>
    <col min="500" max="500" width="6" style="211" bestFit="1" customWidth="1"/>
    <col min="501" max="501" width="5.69921875" style="211" bestFit="1" customWidth="1"/>
    <col min="502" max="503" width="6" style="211" bestFit="1" customWidth="1"/>
    <col min="504" max="504" width="8" style="211" bestFit="1" customWidth="1"/>
    <col min="505" max="506" width="6" style="211" bestFit="1" customWidth="1"/>
    <col min="507" max="507" width="5.69921875" style="211" bestFit="1" customWidth="1"/>
    <col min="508" max="513" width="6" style="211" bestFit="1" customWidth="1"/>
    <col min="514" max="530" width="6.69921875" style="211" bestFit="1" customWidth="1"/>
    <col min="531" max="531" width="8.69921875" style="211" bestFit="1" customWidth="1"/>
    <col min="532" max="532" width="6.69921875" style="211" bestFit="1" customWidth="1"/>
    <col min="533" max="539" width="8.69921875" style="211" bestFit="1" customWidth="1"/>
    <col min="540" max="543" width="6" style="211" bestFit="1" customWidth="1"/>
    <col min="544" max="544" width="5.69921875" style="211" bestFit="1" customWidth="1"/>
    <col min="545" max="546" width="8.69921875" style="211" bestFit="1" customWidth="1"/>
    <col min="547" max="547" width="11.19921875" style="211" bestFit="1" customWidth="1"/>
    <col min="548" max="548" width="6" style="211" bestFit="1" customWidth="1"/>
    <col min="549" max="551" width="6.69921875" style="211" bestFit="1" customWidth="1"/>
    <col min="552" max="552" width="8.69921875" style="211" bestFit="1" customWidth="1"/>
    <col min="553" max="553" width="16.296875" style="211" bestFit="1" customWidth="1"/>
    <col min="554" max="554" width="5.796875" style="211" bestFit="1" customWidth="1"/>
    <col min="555" max="555" width="6" style="211" bestFit="1" customWidth="1"/>
    <col min="556" max="556" width="8.69921875" style="211" bestFit="1" customWidth="1"/>
    <col min="557" max="557" width="16.296875" style="211" bestFit="1" customWidth="1"/>
    <col min="558" max="558" width="5.796875" style="211" bestFit="1" customWidth="1"/>
    <col min="559" max="561" width="5.69921875" style="211" bestFit="1" customWidth="1"/>
    <col min="562" max="566" width="6.69921875" style="211" bestFit="1" customWidth="1"/>
    <col min="567" max="567" width="6.69921875" style="211" customWidth="1"/>
    <col min="568" max="569" width="6.69921875" style="211" bestFit="1" customWidth="1"/>
    <col min="570" max="570" width="8.69921875" style="211" bestFit="1" customWidth="1"/>
    <col min="571" max="571" width="8.296875" style="211" bestFit="1" customWidth="1"/>
    <col min="572" max="573" width="6.69921875" style="211" bestFit="1" customWidth="1"/>
    <col min="574" max="575" width="8.69921875" style="211" bestFit="1" customWidth="1"/>
    <col min="576" max="579" width="6.69921875" style="211" bestFit="1" customWidth="1"/>
    <col min="580" max="580" width="8.69921875" style="211" bestFit="1" customWidth="1"/>
    <col min="581" max="581" width="8.296875" style="211" bestFit="1" customWidth="1"/>
    <col min="582" max="584" width="6.69921875" style="211" bestFit="1" customWidth="1"/>
    <col min="585" max="585" width="8.69921875" style="211" bestFit="1" customWidth="1"/>
    <col min="586" max="587" width="5.69921875" style="211" bestFit="1" customWidth="1"/>
  </cols>
  <sheetData>
    <row r="1" spans="1:587" ht="16.2" thickBot="1">
      <c r="A1" s="481" t="str">
        <f>Language!A1674</f>
        <v>Refer to the User Guide for Export instructions. Failure to follow directions will result in major errors.</v>
      </c>
      <c r="B1" s="403"/>
      <c r="C1" s="403"/>
      <c r="D1" s="403"/>
      <c r="E1" s="403"/>
      <c r="F1" s="403"/>
      <c r="G1" s="403"/>
      <c r="H1" s="403"/>
      <c r="I1" s="403"/>
      <c r="J1" s="403"/>
      <c r="K1" s="403"/>
      <c r="L1" s="403"/>
      <c r="M1" s="403"/>
      <c r="N1" s="403"/>
      <c r="O1" s="403"/>
      <c r="P1" s="403"/>
      <c r="Q1" s="403"/>
      <c r="R1" s="403"/>
      <c r="S1" s="403"/>
      <c r="T1" s="403"/>
    </row>
    <row r="2" spans="1:587">
      <c r="B2" s="670" t="s">
        <v>3210</v>
      </c>
      <c r="C2" s="671"/>
      <c r="D2" s="671"/>
      <c r="E2" s="671"/>
      <c r="F2" s="671"/>
      <c r="G2" s="671"/>
      <c r="H2" s="671"/>
      <c r="I2" s="671"/>
      <c r="J2" s="671"/>
      <c r="K2" s="671"/>
      <c r="L2" s="671"/>
      <c r="M2" s="671"/>
      <c r="N2" s="671"/>
      <c r="O2" s="671"/>
      <c r="P2" s="671"/>
      <c r="Q2" s="671"/>
      <c r="R2" s="671"/>
      <c r="S2" s="674"/>
      <c r="T2" s="670" t="s">
        <v>3211</v>
      </c>
      <c r="U2" s="671"/>
      <c r="V2" s="671"/>
      <c r="W2" s="671"/>
      <c r="X2" s="674"/>
      <c r="Y2" s="670" t="s">
        <v>3212</v>
      </c>
      <c r="Z2" s="671"/>
      <c r="AA2" s="671"/>
      <c r="AB2" s="672"/>
      <c r="AC2" s="670" t="s">
        <v>4803</v>
      </c>
      <c r="AD2" s="671"/>
      <c r="AE2" s="671"/>
      <c r="AF2" s="671"/>
      <c r="AG2" s="671"/>
      <c r="AH2" s="672"/>
      <c r="AI2" s="670" t="s">
        <v>3380</v>
      </c>
      <c r="AJ2" s="671"/>
      <c r="AK2" s="671"/>
      <c r="AL2" s="671"/>
      <c r="AM2" s="671"/>
      <c r="AN2" s="672"/>
      <c r="AO2" s="670" t="s">
        <v>3219</v>
      </c>
      <c r="AP2" s="671"/>
      <c r="AQ2" s="671"/>
      <c r="AR2" s="671"/>
      <c r="AS2" s="671"/>
      <c r="AT2" s="672"/>
      <c r="AU2" s="670" t="s">
        <v>3220</v>
      </c>
      <c r="AV2" s="671"/>
      <c r="AW2" s="671"/>
      <c r="AX2" s="671"/>
      <c r="AY2" s="671"/>
      <c r="AZ2" s="671"/>
      <c r="BA2" s="672"/>
      <c r="BB2" s="670" t="s">
        <v>2189</v>
      </c>
      <c r="BC2" s="671"/>
      <c r="BD2" s="671"/>
      <c r="BE2" s="671"/>
      <c r="BF2" s="671"/>
      <c r="BG2" s="671"/>
      <c r="BH2" s="671"/>
      <c r="BI2" s="671"/>
      <c r="BJ2" s="671"/>
      <c r="BK2" s="671"/>
      <c r="BL2" s="671"/>
      <c r="BM2" s="671"/>
      <c r="BN2" s="671"/>
      <c r="BO2" s="671"/>
      <c r="BP2" s="671"/>
      <c r="BQ2" s="671"/>
      <c r="BR2" s="671"/>
      <c r="BS2" s="671"/>
      <c r="BT2" s="671"/>
      <c r="BU2" s="671"/>
      <c r="BV2" s="672"/>
      <c r="BW2" s="670" t="s">
        <v>2190</v>
      </c>
      <c r="BX2" s="671"/>
      <c r="BY2" s="671"/>
      <c r="BZ2" s="671"/>
      <c r="CA2" s="671"/>
      <c r="CB2" s="672"/>
      <c r="CC2" s="675" t="s">
        <v>4833</v>
      </c>
      <c r="CD2" s="676"/>
      <c r="CE2" s="676"/>
      <c r="CF2" s="676"/>
      <c r="CG2" s="676"/>
      <c r="CH2" s="676"/>
      <c r="CI2" s="676"/>
      <c r="CJ2" s="676"/>
      <c r="CK2" s="676"/>
      <c r="CL2" s="676"/>
      <c r="CM2" s="676"/>
      <c r="CN2" s="676"/>
      <c r="CO2" s="676"/>
      <c r="CP2" s="676"/>
      <c r="CQ2" s="676"/>
      <c r="CR2" s="676"/>
      <c r="CS2" s="676"/>
      <c r="CT2" s="676"/>
      <c r="CU2" s="676"/>
      <c r="CV2" s="676"/>
      <c r="CW2" s="676"/>
      <c r="CX2" s="676"/>
      <c r="CY2" s="676"/>
      <c r="CZ2" s="676"/>
      <c r="DA2" s="677"/>
      <c r="DB2" s="675" t="s">
        <v>4834</v>
      </c>
      <c r="DC2" s="676"/>
      <c r="DD2" s="676"/>
      <c r="DE2" s="676"/>
      <c r="DF2" s="676"/>
      <c r="DG2" s="676"/>
      <c r="DH2" s="676"/>
      <c r="DI2" s="676"/>
      <c r="DJ2" s="676"/>
      <c r="DK2" s="676"/>
      <c r="DL2" s="676"/>
      <c r="DM2" s="676"/>
      <c r="DN2" s="676"/>
      <c r="DO2" s="676"/>
      <c r="DP2" s="676"/>
      <c r="DQ2" s="676"/>
      <c r="DR2" s="676"/>
      <c r="DS2" s="676"/>
      <c r="DT2" s="676"/>
      <c r="DU2" s="676"/>
      <c r="DV2" s="676"/>
      <c r="DW2" s="676"/>
      <c r="DX2" s="676"/>
      <c r="DY2" s="676"/>
      <c r="DZ2" s="677"/>
      <c r="EA2" s="670" t="s">
        <v>934</v>
      </c>
      <c r="EB2" s="671"/>
      <c r="EC2" s="671"/>
      <c r="ED2" s="671"/>
      <c r="EE2" s="671"/>
      <c r="EF2" s="671"/>
      <c r="EG2" s="671"/>
      <c r="EH2" s="671"/>
      <c r="EI2" s="671"/>
      <c r="EJ2" s="671"/>
      <c r="EK2" s="671"/>
      <c r="EL2" s="671"/>
      <c r="EM2" s="672"/>
      <c r="EN2" s="670" t="s">
        <v>1642</v>
      </c>
      <c r="EO2" s="671"/>
      <c r="EP2" s="671"/>
      <c r="EQ2" s="671"/>
      <c r="ER2" s="671"/>
      <c r="ES2" s="671"/>
      <c r="ET2" s="671"/>
      <c r="EU2" s="671"/>
      <c r="EV2" s="671"/>
      <c r="EW2" s="671"/>
      <c r="EX2" s="671"/>
      <c r="EY2" s="671"/>
      <c r="EZ2" s="671"/>
      <c r="FA2" s="671"/>
      <c r="FB2" s="671"/>
      <c r="FC2" s="671"/>
      <c r="FD2" s="671"/>
      <c r="FE2" s="671"/>
      <c r="FF2" s="671"/>
      <c r="FG2" s="671"/>
      <c r="FH2" s="672"/>
      <c r="FI2" s="670" t="s">
        <v>3238</v>
      </c>
      <c r="FJ2" s="671"/>
      <c r="FK2" s="671"/>
      <c r="FL2" s="671"/>
      <c r="FM2" s="671"/>
      <c r="FN2" s="672"/>
      <c r="FO2" s="670" t="s">
        <v>3239</v>
      </c>
      <c r="FP2" s="671"/>
      <c r="FQ2" s="671"/>
      <c r="FR2" s="671"/>
      <c r="FS2" s="674"/>
      <c r="FT2" s="670" t="s">
        <v>3224</v>
      </c>
      <c r="FU2" s="671"/>
      <c r="FV2" s="672"/>
      <c r="FW2" s="285" t="s">
        <v>3423</v>
      </c>
      <c r="FX2" s="673" t="s">
        <v>1624</v>
      </c>
      <c r="FY2" s="671"/>
      <c r="FZ2" s="671"/>
      <c r="GA2" s="671"/>
      <c r="GB2" s="671"/>
      <c r="GC2" s="671"/>
      <c r="GD2" s="671"/>
      <c r="GE2" s="671"/>
      <c r="GF2" s="671"/>
      <c r="GG2" s="671"/>
      <c r="GH2" s="671"/>
      <c r="GI2" s="671"/>
      <c r="GJ2" s="671"/>
      <c r="GK2" s="672"/>
      <c r="GL2" s="670" t="s">
        <v>3225</v>
      </c>
      <c r="GM2" s="671"/>
      <c r="GN2" s="671"/>
      <c r="GO2" s="671"/>
      <c r="GP2" s="671"/>
      <c r="GQ2" s="671"/>
      <c r="GR2" s="671"/>
      <c r="GS2" s="671"/>
      <c r="GT2" s="671"/>
      <c r="GU2" s="671"/>
      <c r="GV2" s="672"/>
      <c r="GW2" s="670" t="s">
        <v>2382</v>
      </c>
      <c r="GX2" s="671"/>
      <c r="GY2" s="671"/>
      <c r="GZ2" s="671"/>
      <c r="HA2" s="671"/>
      <c r="HB2" s="672"/>
      <c r="HC2" s="670" t="s">
        <v>3226</v>
      </c>
      <c r="HD2" s="671"/>
      <c r="HE2" s="671"/>
      <c r="HF2" s="671"/>
      <c r="HG2" s="671"/>
      <c r="HH2" s="671"/>
      <c r="HI2" s="672"/>
      <c r="HJ2" s="670" t="s">
        <v>3227</v>
      </c>
      <c r="HK2" s="671"/>
      <c r="HL2" s="671"/>
      <c r="HM2" s="672"/>
      <c r="HN2" s="670" t="s">
        <v>3228</v>
      </c>
      <c r="HO2" s="671"/>
      <c r="HP2" s="671"/>
      <c r="HQ2" s="671"/>
      <c r="HR2" s="671"/>
      <c r="HS2" s="674"/>
      <c r="HT2" s="673" t="s">
        <v>1615</v>
      </c>
      <c r="HU2" s="671"/>
      <c r="HV2" s="671"/>
      <c r="HW2" s="671"/>
      <c r="HX2" s="671"/>
      <c r="HY2" s="671"/>
      <c r="HZ2" s="671"/>
      <c r="IA2" s="674"/>
      <c r="IB2" s="673" t="s">
        <v>1616</v>
      </c>
      <c r="IC2" s="671"/>
      <c r="ID2" s="671"/>
      <c r="IE2" s="671"/>
      <c r="IF2" s="674"/>
      <c r="IG2" s="673" t="s">
        <v>3229</v>
      </c>
      <c r="IH2" s="671"/>
      <c r="II2" s="671"/>
      <c r="IJ2" s="671"/>
      <c r="IK2" s="674"/>
      <c r="IL2" s="670" t="s">
        <v>2387</v>
      </c>
      <c r="IM2" s="671"/>
      <c r="IN2" s="671"/>
      <c r="IO2" s="674"/>
      <c r="IP2" s="673" t="s">
        <v>2388</v>
      </c>
      <c r="IQ2" s="671"/>
      <c r="IR2" s="671"/>
      <c r="IS2" s="671"/>
      <c r="IT2" s="671"/>
      <c r="IU2" s="671"/>
      <c r="IV2" s="671"/>
      <c r="IW2" s="671"/>
      <c r="IX2" s="671"/>
      <c r="IY2" s="671"/>
      <c r="IZ2" s="671"/>
      <c r="JA2" s="671"/>
      <c r="JB2" s="671"/>
      <c r="JC2" s="671"/>
      <c r="JD2" s="674"/>
      <c r="JE2" s="673" t="s">
        <v>2389</v>
      </c>
      <c r="JF2" s="671"/>
      <c r="JG2" s="671"/>
      <c r="JH2" s="671"/>
      <c r="JI2" s="671"/>
      <c r="JJ2" s="674"/>
      <c r="JK2" s="673" t="s">
        <v>3230</v>
      </c>
      <c r="JL2" s="671"/>
      <c r="JM2" s="671"/>
      <c r="JN2" s="671"/>
      <c r="JO2" s="671"/>
      <c r="JP2" s="671"/>
      <c r="JQ2" s="671"/>
      <c r="JR2" s="671"/>
      <c r="JS2" s="671"/>
      <c r="JT2" s="674"/>
      <c r="JU2" s="673" t="s">
        <v>3231</v>
      </c>
      <c r="JV2" s="671"/>
      <c r="JW2" s="674"/>
      <c r="JX2" s="673" t="s">
        <v>3232</v>
      </c>
      <c r="JY2" s="671"/>
      <c r="JZ2" s="671"/>
      <c r="KA2" s="672"/>
      <c r="KB2" s="670" t="s">
        <v>3233</v>
      </c>
      <c r="KC2" s="671"/>
      <c r="KD2" s="671"/>
      <c r="KE2" s="671"/>
      <c r="KF2" s="671"/>
      <c r="KG2" s="671"/>
      <c r="KH2" s="671"/>
      <c r="KI2" s="671"/>
      <c r="KJ2" s="671"/>
      <c r="KK2" s="671"/>
      <c r="KL2" s="671"/>
      <c r="KM2" s="671"/>
      <c r="KN2" s="671"/>
      <c r="KO2" s="671"/>
      <c r="KP2" s="671"/>
      <c r="KQ2" s="671"/>
      <c r="KR2" s="671"/>
      <c r="KS2" s="671"/>
      <c r="KT2" s="671"/>
      <c r="KU2" s="671"/>
      <c r="KV2" s="671"/>
      <c r="KW2" s="671"/>
      <c r="KX2" s="671"/>
      <c r="KY2" s="671"/>
      <c r="KZ2" s="671"/>
      <c r="LA2" s="671"/>
      <c r="LB2" s="671"/>
      <c r="LC2" s="671"/>
      <c r="LD2" s="671"/>
      <c r="LE2" s="671"/>
      <c r="LF2" s="671"/>
      <c r="LG2" s="671"/>
      <c r="LH2" s="671"/>
      <c r="LI2" s="671"/>
      <c r="LJ2" s="671"/>
      <c r="LK2" s="671"/>
      <c r="LL2" s="671"/>
      <c r="LM2" s="671"/>
      <c r="LN2" s="671"/>
      <c r="LO2" s="671"/>
      <c r="LP2" s="671"/>
      <c r="LQ2" s="671"/>
      <c r="LR2" s="671"/>
      <c r="LS2" s="671"/>
      <c r="LT2" s="671"/>
      <c r="LU2" s="671"/>
      <c r="LV2" s="671"/>
      <c r="LW2" s="671"/>
      <c r="LX2" s="671"/>
      <c r="LY2" s="671"/>
      <c r="LZ2" s="671"/>
      <c r="MA2" s="671"/>
      <c r="MB2" s="671"/>
      <c r="MC2" s="671"/>
      <c r="MD2" s="671"/>
      <c r="ME2" s="671"/>
      <c r="MF2" s="671"/>
      <c r="MG2" s="671"/>
      <c r="MH2" s="671"/>
      <c r="MI2" s="671"/>
      <c r="MJ2" s="671"/>
      <c r="MK2" s="671"/>
      <c r="ML2" s="671"/>
      <c r="MM2" s="671"/>
      <c r="MN2" s="671"/>
      <c r="MO2" s="671"/>
      <c r="MP2" s="671"/>
      <c r="MQ2" s="671"/>
      <c r="MR2" s="671"/>
      <c r="MS2" s="671"/>
      <c r="MT2" s="671"/>
      <c r="MU2" s="671"/>
      <c r="MV2" s="671"/>
      <c r="MW2" s="671"/>
      <c r="MX2" s="671"/>
      <c r="MY2" s="671"/>
      <c r="MZ2" s="671"/>
      <c r="NA2" s="671"/>
      <c r="NB2" s="671"/>
      <c r="NC2" s="671"/>
      <c r="ND2" s="671"/>
      <c r="NE2" s="671"/>
      <c r="NF2" s="671"/>
      <c r="NG2" s="671"/>
      <c r="NH2" s="671"/>
      <c r="NI2" s="671"/>
      <c r="NJ2" s="671"/>
      <c r="NK2" s="671"/>
      <c r="NL2" s="671"/>
      <c r="NM2" s="671"/>
      <c r="NN2" s="671"/>
      <c r="NO2" s="671"/>
      <c r="NP2" s="671"/>
      <c r="NQ2" s="671"/>
      <c r="NR2" s="671"/>
      <c r="NS2" s="671"/>
      <c r="NT2" s="671"/>
      <c r="NU2" s="671"/>
      <c r="NV2" s="671"/>
      <c r="NW2" s="671"/>
      <c r="NX2" s="672"/>
      <c r="NY2" s="670" t="s">
        <v>3234</v>
      </c>
      <c r="NZ2" s="671"/>
      <c r="OA2" s="671"/>
      <c r="OB2" s="671"/>
      <c r="OC2" s="671"/>
      <c r="OD2" s="671"/>
      <c r="OE2" s="671"/>
      <c r="OF2" s="671"/>
      <c r="OG2" s="671"/>
      <c r="OH2" s="672"/>
      <c r="OI2" s="670" t="s">
        <v>3235</v>
      </c>
      <c r="OJ2" s="673"/>
      <c r="OK2" s="671"/>
      <c r="OL2" s="671"/>
      <c r="OM2" s="671"/>
      <c r="ON2" s="671"/>
      <c r="OO2" s="671"/>
      <c r="OP2" s="671"/>
      <c r="OQ2" s="671"/>
      <c r="OR2" s="671"/>
      <c r="OS2" s="671"/>
      <c r="OT2" s="671"/>
      <c r="OU2" s="671"/>
      <c r="OV2" s="671"/>
      <c r="OW2" s="671"/>
      <c r="OX2" s="671"/>
      <c r="OY2" s="671"/>
      <c r="OZ2" s="671"/>
      <c r="PA2" s="671"/>
      <c r="PB2" s="671"/>
      <c r="PC2" s="671"/>
      <c r="PD2" s="671"/>
      <c r="PE2" s="671"/>
      <c r="PF2" s="672"/>
      <c r="PG2" s="670" t="s">
        <v>3475</v>
      </c>
      <c r="PH2" s="671"/>
      <c r="PI2" s="671"/>
      <c r="PJ2" s="671"/>
      <c r="PK2" s="671"/>
      <c r="PL2" s="671"/>
      <c r="PM2" s="671"/>
      <c r="PN2" s="671"/>
      <c r="PO2" s="671"/>
      <c r="PP2" s="671"/>
      <c r="PQ2" s="671"/>
      <c r="PR2" s="671"/>
      <c r="PS2" s="671"/>
      <c r="PT2" s="671"/>
      <c r="PU2" s="671"/>
      <c r="PV2" s="671"/>
      <c r="PW2" s="671"/>
      <c r="PX2" s="671"/>
      <c r="PY2" s="671"/>
      <c r="PZ2" s="671"/>
      <c r="QA2" s="672"/>
      <c r="QB2" s="670" t="s">
        <v>3476</v>
      </c>
      <c r="QC2" s="671"/>
      <c r="QD2" s="671"/>
      <c r="QE2" s="671"/>
      <c r="QF2" s="671"/>
      <c r="QG2" s="671"/>
      <c r="QH2" s="671"/>
      <c r="QI2" s="671"/>
      <c r="QJ2" s="671"/>
      <c r="QK2" s="671"/>
      <c r="QL2" s="671"/>
      <c r="QM2" s="671"/>
      <c r="QN2" s="671"/>
      <c r="QO2" s="671"/>
      <c r="QP2" s="671"/>
      <c r="QQ2" s="671"/>
      <c r="QR2" s="671"/>
      <c r="QS2" s="671"/>
      <c r="QT2" s="671"/>
      <c r="QU2" s="671"/>
      <c r="QV2" s="671"/>
      <c r="QW2" s="671"/>
      <c r="QX2" s="671"/>
      <c r="QY2" s="671"/>
      <c r="QZ2" s="671"/>
      <c r="RA2" s="671"/>
      <c r="RB2" s="671"/>
      <c r="RC2" s="671"/>
      <c r="RD2" s="671"/>
      <c r="RE2" s="671"/>
      <c r="RF2" s="671"/>
      <c r="RG2" s="671"/>
      <c r="RH2" s="671"/>
      <c r="RI2" s="671"/>
      <c r="RJ2" s="671"/>
      <c r="RK2" s="671"/>
      <c r="RL2" s="671"/>
      <c r="RM2" s="671"/>
      <c r="RN2" s="671"/>
      <c r="RO2" s="671"/>
      <c r="RP2" s="671"/>
      <c r="RQ2" s="671"/>
      <c r="RR2" s="671"/>
      <c r="RS2" s="671"/>
      <c r="RT2" s="672"/>
      <c r="RU2" s="670" t="s">
        <v>3477</v>
      </c>
      <c r="RV2" s="671"/>
      <c r="RW2" s="671"/>
      <c r="RX2" s="671"/>
      <c r="RY2" s="671"/>
      <c r="RZ2" s="671"/>
      <c r="SA2" s="671"/>
      <c r="SB2" s="671"/>
      <c r="SC2" s="671"/>
      <c r="SD2" s="671"/>
      <c r="SE2" s="671"/>
      <c r="SF2" s="671"/>
      <c r="SG2" s="672"/>
      <c r="SH2" s="670" t="s">
        <v>3478</v>
      </c>
      <c r="SI2" s="672"/>
      <c r="SJ2" s="302" t="s">
        <v>3479</v>
      </c>
      <c r="SK2" s="670" t="s">
        <v>3480</v>
      </c>
      <c r="SL2" s="671"/>
      <c r="SM2" s="671"/>
      <c r="SN2" s="671"/>
      <c r="SO2" s="671"/>
      <c r="SP2" s="671"/>
      <c r="SQ2" s="671"/>
      <c r="SR2" s="671"/>
      <c r="SS2" s="671"/>
      <c r="ST2" s="671"/>
      <c r="SU2" s="671"/>
      <c r="SV2" s="671"/>
      <c r="SW2" s="671"/>
      <c r="SX2" s="671"/>
      <c r="SY2" s="671"/>
      <c r="SZ2" s="671"/>
      <c r="TA2" s="671"/>
      <c r="TB2" s="671"/>
      <c r="TC2" s="671"/>
      <c r="TD2" s="671"/>
      <c r="TE2" s="671"/>
      <c r="TF2" s="671"/>
      <c r="TG2" s="671"/>
      <c r="TH2" s="671"/>
      <c r="TI2" s="671"/>
      <c r="TJ2" s="671"/>
      <c r="TK2" s="671"/>
      <c r="TL2" s="671"/>
      <c r="TM2" s="671"/>
      <c r="TN2" s="671"/>
      <c r="TO2" s="671"/>
      <c r="TP2" s="671"/>
      <c r="TQ2" s="671"/>
      <c r="TR2" s="671"/>
      <c r="TS2" s="672"/>
      <c r="TT2" s="675" t="s">
        <v>3481</v>
      </c>
      <c r="TU2" s="676"/>
      <c r="TV2" s="676"/>
      <c r="TW2" s="676"/>
      <c r="TX2" s="676"/>
      <c r="TY2" s="676"/>
      <c r="TZ2" s="676"/>
      <c r="UA2" s="676"/>
      <c r="UB2" s="676"/>
      <c r="UC2" s="676"/>
      <c r="UD2" s="676"/>
      <c r="UE2" s="676"/>
      <c r="UF2" s="677"/>
      <c r="UG2" s="670" t="s">
        <v>3482</v>
      </c>
      <c r="UH2" s="671"/>
      <c r="UI2" s="671"/>
      <c r="UJ2" s="671"/>
      <c r="UK2" s="671"/>
      <c r="UL2" s="671"/>
      <c r="UM2" s="671"/>
      <c r="UN2" s="671"/>
      <c r="UO2" s="671"/>
      <c r="UP2" s="671"/>
      <c r="UQ2" s="671"/>
      <c r="UR2" s="671"/>
      <c r="US2" s="671"/>
      <c r="UT2" s="671"/>
      <c r="UU2" s="671"/>
      <c r="UV2" s="671"/>
      <c r="UW2" s="671"/>
      <c r="UX2" s="671"/>
      <c r="UY2" s="671"/>
      <c r="UZ2" s="671"/>
      <c r="VA2" s="671"/>
      <c r="VB2" s="671"/>
      <c r="VC2" s="671"/>
      <c r="VD2" s="671"/>
      <c r="VE2" s="671"/>
      <c r="VF2" s="671"/>
      <c r="VG2" s="671"/>
      <c r="VH2" s="671"/>
      <c r="VI2" s="671"/>
      <c r="VJ2" s="671"/>
      <c r="VK2" s="671"/>
      <c r="VL2" s="671"/>
      <c r="VM2" s="672"/>
      <c r="VN2" s="670" t="s">
        <v>3483</v>
      </c>
      <c r="VO2" s="674"/>
    </row>
    <row r="3" spans="1:587" s="283" customFormat="1" ht="364.95" customHeight="1" thickBot="1">
      <c r="A3" s="1" t="s">
        <v>3236</v>
      </c>
      <c r="B3" s="308" t="s">
        <v>296</v>
      </c>
      <c r="C3" s="305" t="s">
        <v>297</v>
      </c>
      <c r="D3" s="305" t="s">
        <v>269</v>
      </c>
      <c r="E3" s="305" t="s">
        <v>303</v>
      </c>
      <c r="F3" s="305" t="s">
        <v>298</v>
      </c>
      <c r="G3" s="305" t="s">
        <v>295</v>
      </c>
      <c r="H3" s="305" t="s">
        <v>5</v>
      </c>
      <c r="I3" s="305" t="s">
        <v>6</v>
      </c>
      <c r="J3" s="305" t="s">
        <v>7</v>
      </c>
      <c r="K3" s="305" t="s">
        <v>8</v>
      </c>
      <c r="L3" s="305" t="s">
        <v>3203</v>
      </c>
      <c r="M3" s="305" t="s">
        <v>3204</v>
      </c>
      <c r="N3" s="305" t="s">
        <v>3205</v>
      </c>
      <c r="O3" s="305" t="s">
        <v>3209</v>
      </c>
      <c r="P3" s="305" t="s">
        <v>299</v>
      </c>
      <c r="Q3" s="305" t="s">
        <v>3206</v>
      </c>
      <c r="R3" s="305" t="s">
        <v>3208</v>
      </c>
      <c r="S3" s="306" t="s">
        <v>3207</v>
      </c>
      <c r="T3" s="308" t="s">
        <v>65</v>
      </c>
      <c r="U3" s="305" t="s">
        <v>168</v>
      </c>
      <c r="V3" s="305" t="s">
        <v>169</v>
      </c>
      <c r="W3" s="305" t="s">
        <v>170</v>
      </c>
      <c r="X3" s="306" t="s">
        <v>39</v>
      </c>
      <c r="Y3" s="308" t="s">
        <v>176</v>
      </c>
      <c r="Z3" s="305" t="s">
        <v>177</v>
      </c>
      <c r="AA3" s="305" t="s">
        <v>178</v>
      </c>
      <c r="AB3" s="307" t="s">
        <v>175</v>
      </c>
      <c r="AC3" s="308" t="s">
        <v>840</v>
      </c>
      <c r="AD3" s="305" t="s">
        <v>172</v>
      </c>
      <c r="AE3" s="305" t="s">
        <v>173</v>
      </c>
      <c r="AF3" s="305" t="s">
        <v>174</v>
      </c>
      <c r="AG3" s="305" t="s">
        <v>839</v>
      </c>
      <c r="AH3" s="307" t="s">
        <v>175</v>
      </c>
      <c r="AI3" s="308" t="s">
        <v>2187</v>
      </c>
      <c r="AJ3" s="305" t="s">
        <v>2188</v>
      </c>
      <c r="AK3" s="305" t="s">
        <v>2184</v>
      </c>
      <c r="AL3" s="305" t="s">
        <v>2185</v>
      </c>
      <c r="AM3" s="305" t="s">
        <v>2186</v>
      </c>
      <c r="AN3" s="307" t="s">
        <v>175</v>
      </c>
      <c r="AO3" s="308" t="s">
        <v>3214</v>
      </c>
      <c r="AP3" s="305" t="s">
        <v>3215</v>
      </c>
      <c r="AQ3" s="305" t="s">
        <v>3216</v>
      </c>
      <c r="AR3" s="305" t="s">
        <v>3213</v>
      </c>
      <c r="AS3" s="305" t="s">
        <v>3217</v>
      </c>
      <c r="AT3" s="307" t="s">
        <v>3218</v>
      </c>
      <c r="AU3" s="308" t="s">
        <v>2</v>
      </c>
      <c r="AV3" s="305" t="s">
        <v>3</v>
      </c>
      <c r="AW3" s="305" t="s">
        <v>4</v>
      </c>
      <c r="AX3" s="305" t="s">
        <v>289</v>
      </c>
      <c r="AY3" s="305" t="s">
        <v>275</v>
      </c>
      <c r="AZ3" s="305" t="s">
        <v>3221</v>
      </c>
      <c r="BA3" s="307" t="s">
        <v>3222</v>
      </c>
      <c r="BB3" s="312" t="s">
        <v>823</v>
      </c>
      <c r="BC3" s="305" t="s">
        <v>824</v>
      </c>
      <c r="BD3" s="305" t="s">
        <v>825</v>
      </c>
      <c r="BE3" s="305" t="s">
        <v>2407</v>
      </c>
      <c r="BF3" s="305" t="s">
        <v>1813</v>
      </c>
      <c r="BG3" s="305" t="s">
        <v>1814</v>
      </c>
      <c r="BH3" s="305" t="s">
        <v>1815</v>
      </c>
      <c r="BI3" s="305" t="s">
        <v>2408</v>
      </c>
      <c r="BJ3" s="305" t="s">
        <v>826</v>
      </c>
      <c r="BK3" s="305" t="s">
        <v>827</v>
      </c>
      <c r="BL3" s="305" t="s">
        <v>835</v>
      </c>
      <c r="BM3" s="305" t="s">
        <v>828</v>
      </c>
      <c r="BN3" s="305" t="s">
        <v>1559</v>
      </c>
      <c r="BO3" s="305" t="s">
        <v>829</v>
      </c>
      <c r="BP3" s="305" t="s">
        <v>831</v>
      </c>
      <c r="BQ3" s="305" t="s">
        <v>830</v>
      </c>
      <c r="BR3" s="305" t="s">
        <v>832</v>
      </c>
      <c r="BS3" s="305" t="s">
        <v>833</v>
      </c>
      <c r="BT3" s="305" t="s">
        <v>834</v>
      </c>
      <c r="BU3" s="305" t="s">
        <v>3223</v>
      </c>
      <c r="BV3" s="307" t="s">
        <v>1892</v>
      </c>
      <c r="BW3" s="308" t="s">
        <v>2191</v>
      </c>
      <c r="BX3" s="305" t="s">
        <v>65</v>
      </c>
      <c r="BY3" s="305" t="s">
        <v>168</v>
      </c>
      <c r="BZ3" s="305" t="s">
        <v>169</v>
      </c>
      <c r="CA3" s="305" t="s">
        <v>170</v>
      </c>
      <c r="CB3" s="307" t="s">
        <v>39</v>
      </c>
      <c r="CC3" s="308" t="s">
        <v>2399</v>
      </c>
      <c r="CD3" s="305" t="s">
        <v>2104</v>
      </c>
      <c r="CE3" s="305" t="s">
        <v>2105</v>
      </c>
      <c r="CF3" s="305" t="s">
        <v>2106</v>
      </c>
      <c r="CG3" s="305" t="s">
        <v>2107</v>
      </c>
      <c r="CH3" s="305" t="s">
        <v>2108</v>
      </c>
      <c r="CI3" s="305" t="s">
        <v>2136</v>
      </c>
      <c r="CJ3" s="305" t="s">
        <v>2109</v>
      </c>
      <c r="CK3" s="305" t="s">
        <v>2110</v>
      </c>
      <c r="CL3" s="305" t="s">
        <v>2111</v>
      </c>
      <c r="CM3" s="305" t="s">
        <v>2130</v>
      </c>
      <c r="CN3" s="305" t="s">
        <v>2113</v>
      </c>
      <c r="CO3" s="305" t="s">
        <v>2114</v>
      </c>
      <c r="CP3" s="305" t="s">
        <v>2115</v>
      </c>
      <c r="CQ3" s="305" t="s">
        <v>2131</v>
      </c>
      <c r="CR3" s="305" t="s">
        <v>2116</v>
      </c>
      <c r="CS3" s="305" t="s">
        <v>2117</v>
      </c>
      <c r="CT3" s="305" t="s">
        <v>2132</v>
      </c>
      <c r="CU3" s="305" t="s">
        <v>2133</v>
      </c>
      <c r="CV3" s="305" t="s">
        <v>2122</v>
      </c>
      <c r="CW3" s="305" t="s">
        <v>2123</v>
      </c>
      <c r="CX3" s="305" t="s">
        <v>2124</v>
      </c>
      <c r="CY3" s="305" t="s">
        <v>2125</v>
      </c>
      <c r="CZ3" s="305" t="s">
        <v>2119</v>
      </c>
      <c r="DA3" s="306" t="s">
        <v>2120</v>
      </c>
      <c r="DB3" s="308" t="s">
        <v>2399</v>
      </c>
      <c r="DC3" s="305" t="s">
        <v>2104</v>
      </c>
      <c r="DD3" s="305" t="s">
        <v>2105</v>
      </c>
      <c r="DE3" s="305" t="s">
        <v>2106</v>
      </c>
      <c r="DF3" s="305" t="s">
        <v>2107</v>
      </c>
      <c r="DG3" s="305" t="s">
        <v>2108</v>
      </c>
      <c r="DH3" s="305" t="s">
        <v>2136</v>
      </c>
      <c r="DI3" s="305" t="s">
        <v>2109</v>
      </c>
      <c r="DJ3" s="305" t="s">
        <v>2110</v>
      </c>
      <c r="DK3" s="305" t="s">
        <v>2111</v>
      </c>
      <c r="DL3" s="305" t="s">
        <v>2130</v>
      </c>
      <c r="DM3" s="305" t="s">
        <v>2113</v>
      </c>
      <c r="DN3" s="305" t="s">
        <v>2114</v>
      </c>
      <c r="DO3" s="305" t="s">
        <v>2115</v>
      </c>
      <c r="DP3" s="305" t="s">
        <v>2131</v>
      </c>
      <c r="DQ3" s="305" t="s">
        <v>2116</v>
      </c>
      <c r="DR3" s="305" t="s">
        <v>2117</v>
      </c>
      <c r="DS3" s="305" t="s">
        <v>2132</v>
      </c>
      <c r="DT3" s="305" t="s">
        <v>2133</v>
      </c>
      <c r="DU3" s="305" t="s">
        <v>2122</v>
      </c>
      <c r="DV3" s="305" t="s">
        <v>2123</v>
      </c>
      <c r="DW3" s="305" t="s">
        <v>2124</v>
      </c>
      <c r="DX3" s="305" t="s">
        <v>2125</v>
      </c>
      <c r="DY3" s="305" t="s">
        <v>2119</v>
      </c>
      <c r="DZ3" s="306" t="s">
        <v>2120</v>
      </c>
      <c r="EA3" s="308" t="s">
        <v>930</v>
      </c>
      <c r="EB3" s="305" t="s">
        <v>760</v>
      </c>
      <c r="EC3" s="305" t="s">
        <v>931</v>
      </c>
      <c r="ED3" s="305" t="s">
        <v>761</v>
      </c>
      <c r="EE3" s="305" t="s">
        <v>932</v>
      </c>
      <c r="EF3" s="305" t="s">
        <v>763</v>
      </c>
      <c r="EG3" s="305" t="s">
        <v>933</v>
      </c>
      <c r="EH3" s="305" t="s">
        <v>765</v>
      </c>
      <c r="EI3" s="305" t="s">
        <v>809</v>
      </c>
      <c r="EJ3" s="305" t="s">
        <v>808</v>
      </c>
      <c r="EK3" s="305" t="s">
        <v>758</v>
      </c>
      <c r="EL3" s="305" t="s">
        <v>1565</v>
      </c>
      <c r="EM3" s="307" t="s">
        <v>1573</v>
      </c>
      <c r="EN3" s="308" t="s">
        <v>2139</v>
      </c>
      <c r="EO3" s="305" t="s">
        <v>2140</v>
      </c>
      <c r="EP3" s="305" t="s">
        <v>2141</v>
      </c>
      <c r="EQ3" s="305" t="s">
        <v>2142</v>
      </c>
      <c r="ER3" s="305" t="s">
        <v>2143</v>
      </c>
      <c r="ES3" s="305" t="s">
        <v>2144</v>
      </c>
      <c r="ET3" s="305" t="s">
        <v>2145</v>
      </c>
      <c r="EU3" s="305" t="s">
        <v>2146</v>
      </c>
      <c r="EV3" s="305" t="s">
        <v>2147</v>
      </c>
      <c r="EW3" s="305" t="s">
        <v>2400</v>
      </c>
      <c r="EX3" s="305" t="s">
        <v>2148</v>
      </c>
      <c r="EY3" s="305" t="s">
        <v>2167</v>
      </c>
      <c r="EZ3" s="305" t="s">
        <v>2149</v>
      </c>
      <c r="FA3" s="305" t="s">
        <v>2150</v>
      </c>
      <c r="FB3" s="305" t="s">
        <v>2157</v>
      </c>
      <c r="FC3" s="305" t="s">
        <v>2151</v>
      </c>
      <c r="FD3" s="305" t="s">
        <v>2152</v>
      </c>
      <c r="FE3" s="305" t="s">
        <v>2153</v>
      </c>
      <c r="FF3" s="305" t="s">
        <v>2154</v>
      </c>
      <c r="FG3" s="305" t="s">
        <v>2155</v>
      </c>
      <c r="FH3" s="307" t="s">
        <v>2156</v>
      </c>
      <c r="FI3" s="308" t="s">
        <v>2158</v>
      </c>
      <c r="FJ3" s="305" t="s">
        <v>2159</v>
      </c>
      <c r="FK3" s="305" t="s">
        <v>2160</v>
      </c>
      <c r="FL3" s="305" t="s">
        <v>2161</v>
      </c>
      <c r="FM3" s="305" t="s">
        <v>2162</v>
      </c>
      <c r="FN3" s="307" t="s">
        <v>2163</v>
      </c>
      <c r="FO3" s="308" t="s">
        <v>2178</v>
      </c>
      <c r="FP3" s="305" t="s">
        <v>2194</v>
      </c>
      <c r="FQ3" s="305" t="s">
        <v>2193</v>
      </c>
      <c r="FR3" s="305" t="s">
        <v>2180</v>
      </c>
      <c r="FS3" s="306" t="s">
        <v>2181</v>
      </c>
      <c r="FT3" s="308" t="s">
        <v>1886</v>
      </c>
      <c r="FU3" s="305" t="s">
        <v>1891</v>
      </c>
      <c r="FV3" s="307" t="s">
        <v>2196</v>
      </c>
      <c r="FW3" s="309" t="s">
        <v>3422</v>
      </c>
      <c r="FX3" s="304" t="s">
        <v>1612</v>
      </c>
      <c r="FY3" s="305" t="s">
        <v>1915</v>
      </c>
      <c r="FZ3" s="305" t="s">
        <v>1613</v>
      </c>
      <c r="GA3" s="305" t="s">
        <v>1614</v>
      </c>
      <c r="GB3" s="305" t="s">
        <v>1617</v>
      </c>
      <c r="GC3" s="305" t="s">
        <v>1615</v>
      </c>
      <c r="GD3" s="305" t="s">
        <v>1616</v>
      </c>
      <c r="GE3" s="305" t="s">
        <v>1618</v>
      </c>
      <c r="GF3" s="305" t="s">
        <v>1619</v>
      </c>
      <c r="GG3" s="305" t="s">
        <v>1620</v>
      </c>
      <c r="GH3" s="305" t="s">
        <v>1621</v>
      </c>
      <c r="GI3" s="305" t="s">
        <v>1622</v>
      </c>
      <c r="GJ3" s="305" t="s">
        <v>1700</v>
      </c>
      <c r="GK3" s="307" t="s">
        <v>1623</v>
      </c>
      <c r="GL3" s="308" t="s">
        <v>15</v>
      </c>
      <c r="GM3" s="305" t="s">
        <v>643</v>
      </c>
      <c r="GN3" s="305" t="s">
        <v>669</v>
      </c>
      <c r="GO3" s="305" t="s">
        <v>673</v>
      </c>
      <c r="GP3" s="305" t="s">
        <v>670</v>
      </c>
      <c r="GQ3" s="305" t="s">
        <v>646</v>
      </c>
      <c r="GR3" s="305" t="s">
        <v>910</v>
      </c>
      <c r="GS3" s="305" t="s">
        <v>909</v>
      </c>
      <c r="GT3" s="305" t="s">
        <v>645</v>
      </c>
      <c r="GU3" s="305" t="s">
        <v>671</v>
      </c>
      <c r="GV3" s="307" t="s">
        <v>2091</v>
      </c>
      <c r="GW3" s="308" t="s">
        <v>778</v>
      </c>
      <c r="GX3" s="305" t="s">
        <v>783</v>
      </c>
      <c r="GY3" s="305" t="s">
        <v>779</v>
      </c>
      <c r="GZ3" s="305" t="s">
        <v>707</v>
      </c>
      <c r="HA3" s="305" t="s">
        <v>740</v>
      </c>
      <c r="HB3" s="307" t="s">
        <v>777</v>
      </c>
      <c r="HC3" s="308" t="s">
        <v>665</v>
      </c>
      <c r="HD3" s="305" t="s">
        <v>797</v>
      </c>
      <c r="HE3" s="305" t="s">
        <v>692</v>
      </c>
      <c r="HF3" s="305" t="s">
        <v>693</v>
      </c>
      <c r="HG3" s="305" t="s">
        <v>803</v>
      </c>
      <c r="HH3" s="305" t="s">
        <v>702</v>
      </c>
      <c r="HI3" s="307" t="s">
        <v>1698</v>
      </c>
      <c r="HJ3" s="308" t="s">
        <v>767</v>
      </c>
      <c r="HK3" s="305" t="s">
        <v>841</v>
      </c>
      <c r="HL3" s="305" t="s">
        <v>854</v>
      </c>
      <c r="HM3" s="307" t="s">
        <v>2274</v>
      </c>
      <c r="HN3" s="308" t="s">
        <v>849</v>
      </c>
      <c r="HO3" s="305" t="s">
        <v>717</v>
      </c>
      <c r="HP3" s="305" t="s">
        <v>1556</v>
      </c>
      <c r="HQ3" s="305" t="s">
        <v>725</v>
      </c>
      <c r="HR3" s="305" t="s">
        <v>851</v>
      </c>
      <c r="HS3" s="306" t="s">
        <v>911</v>
      </c>
      <c r="HT3" s="304" t="s">
        <v>853</v>
      </c>
      <c r="HU3" s="305" t="s">
        <v>728</v>
      </c>
      <c r="HV3" s="305" t="s">
        <v>1893</v>
      </c>
      <c r="HW3" s="305" t="s">
        <v>1894</v>
      </c>
      <c r="HX3" s="305" t="s">
        <v>716</v>
      </c>
      <c r="HY3" s="305" t="s">
        <v>727</v>
      </c>
      <c r="HZ3" s="305" t="s">
        <v>729</v>
      </c>
      <c r="IA3" s="306" t="s">
        <v>730</v>
      </c>
      <c r="IB3" s="304" t="s">
        <v>861</v>
      </c>
      <c r="IC3" s="305" t="s">
        <v>862</v>
      </c>
      <c r="ID3" s="305" t="s">
        <v>648</v>
      </c>
      <c r="IE3" s="305" t="s">
        <v>649</v>
      </c>
      <c r="IF3" s="306" t="s">
        <v>731</v>
      </c>
      <c r="IG3" s="304" t="s">
        <v>890</v>
      </c>
      <c r="IH3" s="305" t="s">
        <v>891</v>
      </c>
      <c r="II3" s="305" t="s">
        <v>893</v>
      </c>
      <c r="IJ3" s="305" t="s">
        <v>894</v>
      </c>
      <c r="IK3" s="306" t="s">
        <v>895</v>
      </c>
      <c r="IL3" s="308" t="s">
        <v>757</v>
      </c>
      <c r="IM3" s="305" t="s">
        <v>756</v>
      </c>
      <c r="IN3" s="305" t="s">
        <v>48</v>
      </c>
      <c r="IO3" s="306" t="s">
        <v>2398</v>
      </c>
      <c r="IP3" s="304" t="s">
        <v>2097</v>
      </c>
      <c r="IQ3" s="305" t="s">
        <v>2098</v>
      </c>
      <c r="IR3" s="305" t="s">
        <v>2099</v>
      </c>
      <c r="IS3" s="305" t="s">
        <v>2100</v>
      </c>
      <c r="IT3" s="305" t="s">
        <v>2101</v>
      </c>
      <c r="IU3" s="305" t="s">
        <v>2102</v>
      </c>
      <c r="IV3" s="305" t="s">
        <v>650</v>
      </c>
      <c r="IW3" s="305" t="s">
        <v>811</v>
      </c>
      <c r="IX3" s="305" t="s">
        <v>332</v>
      </c>
      <c r="IY3" s="305" t="s">
        <v>331</v>
      </c>
      <c r="IZ3" s="305" t="s">
        <v>651</v>
      </c>
      <c r="JA3" s="305" t="s">
        <v>330</v>
      </c>
      <c r="JB3" s="305" t="s">
        <v>58</v>
      </c>
      <c r="JC3" s="305" t="s">
        <v>56</v>
      </c>
      <c r="JD3" s="306" t="s">
        <v>2323</v>
      </c>
      <c r="JE3" s="304" t="s">
        <v>660</v>
      </c>
      <c r="JF3" s="305" t="s">
        <v>659</v>
      </c>
      <c r="JG3" s="305" t="s">
        <v>658</v>
      </c>
      <c r="JH3" s="305" t="s">
        <v>657</v>
      </c>
      <c r="JI3" s="305" t="s">
        <v>656</v>
      </c>
      <c r="JJ3" s="306" t="s">
        <v>654</v>
      </c>
      <c r="JK3" s="304" t="s">
        <v>926</v>
      </c>
      <c r="JL3" s="305" t="s">
        <v>751</v>
      </c>
      <c r="JM3" s="305" t="s">
        <v>664</v>
      </c>
      <c r="JN3" s="305" t="s">
        <v>663</v>
      </c>
      <c r="JO3" s="305" t="s">
        <v>661</v>
      </c>
      <c r="JP3" s="305" t="s">
        <v>927</v>
      </c>
      <c r="JQ3" s="305" t="s">
        <v>928</v>
      </c>
      <c r="JR3" s="305" t="s">
        <v>929</v>
      </c>
      <c r="JS3" s="305" t="s">
        <v>662</v>
      </c>
      <c r="JT3" s="306" t="s">
        <v>2360</v>
      </c>
      <c r="JU3" s="304" t="s">
        <v>746</v>
      </c>
      <c r="JV3" s="305" t="s">
        <v>667</v>
      </c>
      <c r="JW3" s="306" t="s">
        <v>1686</v>
      </c>
      <c r="JX3" s="304" t="s">
        <v>936</v>
      </c>
      <c r="JY3" s="305" t="s">
        <v>938</v>
      </c>
      <c r="JZ3" s="305" t="s">
        <v>937</v>
      </c>
      <c r="KA3" s="307" t="s">
        <v>939</v>
      </c>
      <c r="KB3" s="300" t="s">
        <v>1989</v>
      </c>
      <c r="KC3" s="298" t="s">
        <v>2154</v>
      </c>
      <c r="KD3" s="298" t="s">
        <v>2154</v>
      </c>
      <c r="KE3" s="298" t="s">
        <v>2090</v>
      </c>
      <c r="KF3" s="298" t="s">
        <v>2371</v>
      </c>
      <c r="KG3" s="298" t="s">
        <v>86</v>
      </c>
      <c r="KH3" s="298" t="s">
        <v>689</v>
      </c>
      <c r="KI3" s="298" t="s">
        <v>1922</v>
      </c>
      <c r="KJ3" s="298" t="s">
        <v>856</v>
      </c>
      <c r="KK3" s="298" t="s">
        <v>857</v>
      </c>
      <c r="KL3" s="298" t="s">
        <v>867</v>
      </c>
      <c r="KM3" s="298" t="s">
        <v>2305</v>
      </c>
      <c r="KN3" s="298" t="s">
        <v>117</v>
      </c>
      <c r="KO3" s="298" t="s">
        <v>2306</v>
      </c>
      <c r="KP3" s="298" t="s">
        <v>871</v>
      </c>
      <c r="KQ3" s="298" t="s">
        <v>2307</v>
      </c>
      <c r="KR3" s="298" t="s">
        <v>102</v>
      </c>
      <c r="KS3" s="298" t="s">
        <v>1633</v>
      </c>
      <c r="KT3" s="298" t="s">
        <v>1634</v>
      </c>
      <c r="KU3" s="298" t="s">
        <v>1951</v>
      </c>
      <c r="KV3" s="298" t="s">
        <v>122</v>
      </c>
      <c r="KW3" s="298" t="s">
        <v>123</v>
      </c>
      <c r="KX3" s="298" t="s">
        <v>1595</v>
      </c>
      <c r="KY3" s="298" t="s">
        <v>124</v>
      </c>
      <c r="KZ3" s="298" t="s">
        <v>1595</v>
      </c>
      <c r="LA3" s="298" t="s">
        <v>1595</v>
      </c>
      <c r="LB3" s="298" t="s">
        <v>131</v>
      </c>
      <c r="LC3" s="298" t="s">
        <v>2762</v>
      </c>
      <c r="LD3" s="298" t="s">
        <v>132</v>
      </c>
      <c r="LE3" s="298" t="s">
        <v>258</v>
      </c>
      <c r="LF3" s="298" t="s">
        <v>133</v>
      </c>
      <c r="LG3" s="298" t="s">
        <v>142</v>
      </c>
      <c r="LH3" s="298" t="s">
        <v>164</v>
      </c>
      <c r="LI3" s="298" t="s">
        <v>66</v>
      </c>
      <c r="LJ3" s="298" t="s">
        <v>1958</v>
      </c>
      <c r="LK3" s="298" t="s">
        <v>329</v>
      </c>
      <c r="LL3" s="298" t="s">
        <v>193</v>
      </c>
      <c r="LM3" s="298" t="s">
        <v>182</v>
      </c>
      <c r="LN3" s="298" t="s">
        <v>183</v>
      </c>
      <c r="LO3" s="298" t="s">
        <v>184</v>
      </c>
      <c r="LP3" s="298" t="s">
        <v>194</v>
      </c>
      <c r="LQ3" s="298" t="s">
        <v>2806</v>
      </c>
      <c r="LR3" s="298" t="s">
        <v>2807</v>
      </c>
      <c r="LS3" s="298" t="s">
        <v>1551</v>
      </c>
      <c r="LT3" s="298" t="s">
        <v>262</v>
      </c>
      <c r="LU3" s="298" t="s">
        <v>1553</v>
      </c>
      <c r="LV3" s="298" t="s">
        <v>80</v>
      </c>
      <c r="LW3" s="298" t="s">
        <v>65</v>
      </c>
      <c r="LX3" s="298" t="s">
        <v>217</v>
      </c>
      <c r="LY3" s="298" t="s">
        <v>218</v>
      </c>
      <c r="LZ3" s="298" t="s">
        <v>327</v>
      </c>
      <c r="MA3" s="298" t="s">
        <v>229</v>
      </c>
      <c r="MB3" s="298" t="s">
        <v>2811</v>
      </c>
      <c r="MC3" s="298" t="s">
        <v>2812</v>
      </c>
      <c r="MD3" s="298" t="s">
        <v>230</v>
      </c>
      <c r="ME3" s="298" t="s">
        <v>2814</v>
      </c>
      <c r="MF3" s="298" t="s">
        <v>68</v>
      </c>
      <c r="MG3" s="298" t="s">
        <v>238</v>
      </c>
      <c r="MH3" s="298" t="s">
        <v>274</v>
      </c>
      <c r="MI3" s="298" t="s">
        <v>70</v>
      </c>
      <c r="MJ3" s="298" t="s">
        <v>69</v>
      </c>
      <c r="MK3" s="298" t="s">
        <v>239</v>
      </c>
      <c r="ML3" s="298" t="s">
        <v>71</v>
      </c>
      <c r="MM3" s="298" t="s">
        <v>78</v>
      </c>
      <c r="MN3" s="298" t="s">
        <v>77</v>
      </c>
      <c r="MO3" s="298" t="s">
        <v>79</v>
      </c>
      <c r="MP3" s="298" t="s">
        <v>2820</v>
      </c>
      <c r="MQ3" s="298" t="s">
        <v>243</v>
      </c>
      <c r="MR3" s="298" t="s">
        <v>182</v>
      </c>
      <c r="MS3" s="298" t="s">
        <v>183</v>
      </c>
      <c r="MT3" s="298" t="s">
        <v>184</v>
      </c>
      <c r="MU3" s="298" t="s">
        <v>185</v>
      </c>
      <c r="MV3" s="298" t="s">
        <v>186</v>
      </c>
      <c r="MW3" s="298" t="s">
        <v>187</v>
      </c>
      <c r="MX3" s="298" t="s">
        <v>188</v>
      </c>
      <c r="MY3" s="298" t="s">
        <v>1600</v>
      </c>
      <c r="MZ3" s="298" t="s">
        <v>1695</v>
      </c>
      <c r="NA3" s="298" t="s">
        <v>1972</v>
      </c>
      <c r="NB3" s="298" t="s">
        <v>1977</v>
      </c>
      <c r="NC3" s="298" t="s">
        <v>1978</v>
      </c>
      <c r="ND3" s="298" t="s">
        <v>1973</v>
      </c>
      <c r="NE3" s="298" t="s">
        <v>1974</v>
      </c>
      <c r="NF3" s="298" t="s">
        <v>1975</v>
      </c>
      <c r="NG3" s="298" t="s">
        <v>1976</v>
      </c>
      <c r="NH3" s="298" t="s">
        <v>1979</v>
      </c>
      <c r="NI3" s="298" t="s">
        <v>1980</v>
      </c>
      <c r="NJ3" s="298" t="s">
        <v>718</v>
      </c>
      <c r="NK3" s="298" t="s">
        <v>1860</v>
      </c>
      <c r="NL3" s="298" t="s">
        <v>1859</v>
      </c>
      <c r="NM3" s="298" t="s">
        <v>1861</v>
      </c>
      <c r="NN3" s="298" t="s">
        <v>1862</v>
      </c>
      <c r="NO3" s="298" t="s">
        <v>75</v>
      </c>
      <c r="NP3" s="298" t="s">
        <v>76</v>
      </c>
      <c r="NQ3" s="298" t="s">
        <v>74</v>
      </c>
      <c r="NR3" s="298" t="s">
        <v>668</v>
      </c>
      <c r="NS3" s="298" t="s">
        <v>316</v>
      </c>
      <c r="NT3" s="298" t="s">
        <v>317</v>
      </c>
      <c r="NU3" s="298" t="s">
        <v>318</v>
      </c>
      <c r="NV3" s="298" t="s">
        <v>1883</v>
      </c>
      <c r="NW3" s="298" t="s">
        <v>674</v>
      </c>
      <c r="NX3" s="299" t="s">
        <v>1884</v>
      </c>
      <c r="NY3" s="300" t="s">
        <v>768</v>
      </c>
      <c r="NZ3" s="298" t="s">
        <v>806</v>
      </c>
      <c r="OA3" s="298" t="s">
        <v>2354</v>
      </c>
      <c r="OB3" s="298" t="s">
        <v>2353</v>
      </c>
      <c r="OC3" s="298" t="s">
        <v>2350</v>
      </c>
      <c r="OD3" s="298" t="s">
        <v>2779</v>
      </c>
      <c r="OE3" s="298" t="s">
        <v>2206</v>
      </c>
      <c r="OF3" s="298" t="s">
        <v>2205</v>
      </c>
      <c r="OG3" s="298" t="s">
        <v>2781</v>
      </c>
      <c r="OH3" s="299" t="s">
        <v>6719</v>
      </c>
      <c r="OI3" s="300" t="s">
        <v>84</v>
      </c>
      <c r="OJ3" s="315" t="s">
        <v>97</v>
      </c>
      <c r="OK3" s="298" t="s">
        <v>2406</v>
      </c>
      <c r="OL3" s="298" t="s">
        <v>2092</v>
      </c>
      <c r="OM3" s="298" t="s">
        <v>1833</v>
      </c>
      <c r="ON3" s="298" t="s">
        <v>732</v>
      </c>
      <c r="OO3" s="298" t="s">
        <v>687</v>
      </c>
      <c r="OP3" s="298" t="s">
        <v>688</v>
      </c>
      <c r="OQ3" s="298" t="s">
        <v>1923</v>
      </c>
      <c r="OR3" s="298" t="s">
        <v>1924</v>
      </c>
      <c r="OS3" s="298" t="s">
        <v>1579</v>
      </c>
      <c r="OT3" s="298" t="s">
        <v>1885</v>
      </c>
      <c r="OU3" s="298" t="s">
        <v>1628</v>
      </c>
      <c r="OV3" s="298" t="s">
        <v>810</v>
      </c>
      <c r="OW3" s="298" t="s">
        <v>2646</v>
      </c>
      <c r="OX3" s="298" t="s">
        <v>120</v>
      </c>
      <c r="OY3" s="298" t="s">
        <v>899</v>
      </c>
      <c r="OZ3" s="298" t="s">
        <v>2867</v>
      </c>
      <c r="PA3" s="298" t="s">
        <v>2868</v>
      </c>
      <c r="PB3" s="298" t="s">
        <v>1687</v>
      </c>
      <c r="PC3" s="298" t="s">
        <v>1599</v>
      </c>
      <c r="PD3" s="298" t="s">
        <v>1688</v>
      </c>
      <c r="PE3" s="298" t="s">
        <v>1689</v>
      </c>
      <c r="PF3" s="299" t="s">
        <v>1690</v>
      </c>
      <c r="PG3" s="300" t="s">
        <v>2074</v>
      </c>
      <c r="PH3" s="298" t="s">
        <v>1610</v>
      </c>
      <c r="PI3" s="298" t="s">
        <v>685</v>
      </c>
      <c r="PJ3" s="298" t="s">
        <v>682</v>
      </c>
      <c r="PK3" s="298" t="s">
        <v>684</v>
      </c>
      <c r="PL3" s="298" t="s">
        <v>683</v>
      </c>
      <c r="PM3" s="298" t="s">
        <v>685</v>
      </c>
      <c r="PN3" s="298" t="s">
        <v>682</v>
      </c>
      <c r="PO3" s="298" t="s">
        <v>684</v>
      </c>
      <c r="PP3" s="298" t="s">
        <v>2192</v>
      </c>
      <c r="PQ3" s="298" t="s">
        <v>685</v>
      </c>
      <c r="PR3" s="298" t="s">
        <v>682</v>
      </c>
      <c r="PS3" s="298" t="s">
        <v>684</v>
      </c>
      <c r="PT3" s="298" t="s">
        <v>2179</v>
      </c>
      <c r="PU3" s="298" t="s">
        <v>685</v>
      </c>
      <c r="PV3" s="298" t="s">
        <v>682</v>
      </c>
      <c r="PW3" s="298" t="s">
        <v>684</v>
      </c>
      <c r="PX3" s="298" t="s">
        <v>2559</v>
      </c>
      <c r="PY3" s="298" t="s">
        <v>685</v>
      </c>
      <c r="PZ3" s="298" t="s">
        <v>682</v>
      </c>
      <c r="QA3" s="299" t="s">
        <v>684</v>
      </c>
      <c r="QB3" s="300" t="s">
        <v>786</v>
      </c>
      <c r="QC3" s="298" t="s">
        <v>787</v>
      </c>
      <c r="QD3" s="298" t="s">
        <v>788</v>
      </c>
      <c r="QE3" s="298" t="s">
        <v>781</v>
      </c>
      <c r="QF3" s="298" t="s">
        <v>782</v>
      </c>
      <c r="QG3" s="298" t="s">
        <v>784</v>
      </c>
      <c r="QH3" s="298" t="s">
        <v>1916</v>
      </c>
      <c r="QI3" s="298" t="s">
        <v>785</v>
      </c>
      <c r="QJ3" s="298" t="s">
        <v>704</v>
      </c>
      <c r="QK3" s="298" t="s">
        <v>792</v>
      </c>
      <c r="QL3" s="298" t="s">
        <v>790</v>
      </c>
      <c r="QM3" s="298" t="s">
        <v>791</v>
      </c>
      <c r="QN3" s="298" t="s">
        <v>100</v>
      </c>
      <c r="QO3" s="298" t="s">
        <v>101</v>
      </c>
      <c r="QP3" s="298" t="s">
        <v>104</v>
      </c>
      <c r="QQ3" s="298" t="s">
        <v>105</v>
      </c>
      <c r="QR3" s="298" t="s">
        <v>2368</v>
      </c>
      <c r="QS3" s="298" t="s">
        <v>2369</v>
      </c>
      <c r="QT3" s="298" t="s">
        <v>2370</v>
      </c>
      <c r="QU3" s="298" t="s">
        <v>2372</v>
      </c>
      <c r="QV3" s="298" t="s">
        <v>1919</v>
      </c>
      <c r="QW3" s="298" t="s">
        <v>1918</v>
      </c>
      <c r="QX3" s="298" t="s">
        <v>1917</v>
      </c>
      <c r="QY3" s="298" t="s">
        <v>699</v>
      </c>
      <c r="QZ3" s="298" t="s">
        <v>1578</v>
      </c>
      <c r="RA3" s="298" t="s">
        <v>1920</v>
      </c>
      <c r="RB3" s="298" t="s">
        <v>2602</v>
      </c>
      <c r="RC3" s="298" t="s">
        <v>694</v>
      </c>
      <c r="RD3" s="298" t="s">
        <v>695</v>
      </c>
      <c r="RE3" s="298" t="s">
        <v>696</v>
      </c>
      <c r="RF3" s="298" t="s">
        <v>697</v>
      </c>
      <c r="RG3" s="298" t="s">
        <v>705</v>
      </c>
      <c r="RH3" s="298" t="s">
        <v>706</v>
      </c>
      <c r="RI3" s="298" t="s">
        <v>2603</v>
      </c>
      <c r="RJ3" s="298" t="s">
        <v>2604</v>
      </c>
      <c r="RK3" s="298" t="s">
        <v>2090</v>
      </c>
      <c r="RL3" s="298" t="s">
        <v>2371</v>
      </c>
      <c r="RM3" s="298" t="s">
        <v>708</v>
      </c>
      <c r="RN3" s="298" t="s">
        <v>709</v>
      </c>
      <c r="RO3" s="298" t="s">
        <v>711</v>
      </c>
      <c r="RP3" s="298" t="s">
        <v>710</v>
      </c>
      <c r="RQ3" s="298" t="s">
        <v>795</v>
      </c>
      <c r="RR3" s="298" t="s">
        <v>94</v>
      </c>
      <c r="RS3" s="298" t="s">
        <v>732</v>
      </c>
      <c r="RT3" s="299" t="s">
        <v>1625</v>
      </c>
      <c r="RU3" s="300" t="s">
        <v>852</v>
      </c>
      <c r="RV3" s="298" t="s">
        <v>34</v>
      </c>
      <c r="RW3" s="298" t="s">
        <v>2664</v>
      </c>
      <c r="RX3" s="298" t="s">
        <v>35</v>
      </c>
      <c r="RY3" s="298" t="s">
        <v>2665</v>
      </c>
      <c r="RZ3" s="298" t="s">
        <v>285</v>
      </c>
      <c r="SA3" s="298" t="s">
        <v>1938</v>
      </c>
      <c r="SB3" s="298" t="s">
        <v>112</v>
      </c>
      <c r="SC3" s="298" t="s">
        <v>2666</v>
      </c>
      <c r="SD3" s="298" t="s">
        <v>1939</v>
      </c>
      <c r="SE3" s="298" t="s">
        <v>2667</v>
      </c>
      <c r="SF3" s="298" t="s">
        <v>2668</v>
      </c>
      <c r="SG3" s="299" t="s">
        <v>1854</v>
      </c>
      <c r="SH3" s="300" t="s">
        <v>1631</v>
      </c>
      <c r="SI3" s="299" t="s">
        <v>1632</v>
      </c>
      <c r="SJ3" s="303" t="s">
        <v>752</v>
      </c>
      <c r="SK3" s="300" t="s">
        <v>271</v>
      </c>
      <c r="SL3" s="298" t="s">
        <v>271</v>
      </c>
      <c r="SM3" s="298" t="s">
        <v>63</v>
      </c>
      <c r="SN3" s="298" t="s">
        <v>271</v>
      </c>
      <c r="SO3" s="298" t="s">
        <v>271</v>
      </c>
      <c r="SP3" s="298" t="s">
        <v>271</v>
      </c>
      <c r="SQ3" s="298" t="s">
        <v>271</v>
      </c>
      <c r="SR3" s="298" t="s">
        <v>271</v>
      </c>
      <c r="SS3" s="298" t="s">
        <v>271</v>
      </c>
      <c r="ST3" s="298" t="s">
        <v>271</v>
      </c>
      <c r="SU3" s="298" t="s">
        <v>271</v>
      </c>
      <c r="SV3" s="298" t="s">
        <v>271</v>
      </c>
      <c r="SW3" s="298" t="s">
        <v>271</v>
      </c>
      <c r="SX3" s="298" t="s">
        <v>271</v>
      </c>
      <c r="SY3" s="298" t="s">
        <v>271</v>
      </c>
      <c r="SZ3" s="298" t="s">
        <v>271</v>
      </c>
      <c r="TA3" s="298" t="s">
        <v>271</v>
      </c>
      <c r="TB3" s="298" t="s">
        <v>271</v>
      </c>
      <c r="TC3" s="298" t="s">
        <v>271</v>
      </c>
      <c r="TD3" s="298" t="s">
        <v>271</v>
      </c>
      <c r="TE3" s="298" t="s">
        <v>271</v>
      </c>
      <c r="TF3" s="298" t="s">
        <v>271</v>
      </c>
      <c r="TG3" s="298" t="s">
        <v>271</v>
      </c>
      <c r="TH3" s="298" t="s">
        <v>271</v>
      </c>
      <c r="TI3" s="298" t="s">
        <v>273</v>
      </c>
      <c r="TJ3" s="298" t="s">
        <v>273</v>
      </c>
      <c r="TK3" s="298" t="s">
        <v>2324</v>
      </c>
      <c r="TL3" s="298" t="s">
        <v>2325</v>
      </c>
      <c r="TM3" s="298" t="s">
        <v>2327</v>
      </c>
      <c r="TN3" s="298" t="s">
        <v>2328</v>
      </c>
      <c r="TO3" s="298" t="s">
        <v>2339</v>
      </c>
      <c r="TP3" s="298" t="s">
        <v>2763</v>
      </c>
      <c r="TQ3" s="298" t="s">
        <v>2326</v>
      </c>
      <c r="TR3" s="298" t="s">
        <v>2329</v>
      </c>
      <c r="TS3" s="299" t="s">
        <v>2330</v>
      </c>
      <c r="TT3" s="316" t="s">
        <v>2778</v>
      </c>
      <c r="TU3" s="315" t="s">
        <v>138</v>
      </c>
      <c r="TV3" s="298" t="s">
        <v>2378</v>
      </c>
      <c r="TW3" s="298" t="s">
        <v>337</v>
      </c>
      <c r="TX3" s="298" t="s">
        <v>162</v>
      </c>
      <c r="TY3" s="298" t="s">
        <v>259</v>
      </c>
      <c r="TZ3" s="298" t="s">
        <v>260</v>
      </c>
      <c r="UA3" s="298" t="s">
        <v>166</v>
      </c>
      <c r="UB3" s="298" t="s">
        <v>167</v>
      </c>
      <c r="UC3" s="298" t="s">
        <v>652</v>
      </c>
      <c r="UD3" s="298" t="s">
        <v>900</v>
      </c>
      <c r="UE3" s="298" t="s">
        <v>901</v>
      </c>
      <c r="UF3" s="299" t="s">
        <v>1596</v>
      </c>
      <c r="UG3" s="300" t="s">
        <v>1552</v>
      </c>
      <c r="UH3" s="298" t="s">
        <v>2346</v>
      </c>
      <c r="UI3" s="298" t="s">
        <v>286</v>
      </c>
      <c r="UJ3" s="298" t="s">
        <v>214</v>
      </c>
      <c r="UK3" s="298" t="s">
        <v>1962</v>
      </c>
      <c r="UL3" s="298" t="s">
        <v>287</v>
      </c>
      <c r="UM3" s="298" t="s">
        <v>324</v>
      </c>
      <c r="UN3" s="298" t="s">
        <v>215</v>
      </c>
      <c r="UO3" s="298" t="s">
        <v>288</v>
      </c>
      <c r="UP3" s="298" t="s">
        <v>263</v>
      </c>
      <c r="UQ3" s="298" t="s">
        <v>2344</v>
      </c>
      <c r="UR3" s="298" t="s">
        <v>2094</v>
      </c>
      <c r="US3" s="298" t="s">
        <v>335</v>
      </c>
      <c r="UT3" s="298" t="s">
        <v>328</v>
      </c>
      <c r="UU3" s="298" t="s">
        <v>4832</v>
      </c>
      <c r="UV3" s="298" t="s">
        <v>219</v>
      </c>
      <c r="UW3" s="298" t="s">
        <v>220</v>
      </c>
      <c r="UX3" s="298" t="s">
        <v>221</v>
      </c>
      <c r="UY3" s="298" t="s">
        <v>226</v>
      </c>
      <c r="UZ3" s="298" t="s">
        <v>336</v>
      </c>
      <c r="VA3" s="298" t="s">
        <v>2809</v>
      </c>
      <c r="VB3" s="298" t="s">
        <v>2810</v>
      </c>
      <c r="VC3" s="298" t="s">
        <v>2813</v>
      </c>
      <c r="VD3" s="298" t="s">
        <v>2815</v>
      </c>
      <c r="VE3" s="298" t="s">
        <v>68</v>
      </c>
      <c r="VF3" s="298" t="s">
        <v>240</v>
      </c>
      <c r="VG3" s="298" t="s">
        <v>2818</v>
      </c>
      <c r="VH3" s="298" t="s">
        <v>2819</v>
      </c>
      <c r="VI3" s="298" t="s">
        <v>2821</v>
      </c>
      <c r="VJ3" s="298" t="s">
        <v>2822</v>
      </c>
      <c r="VK3" s="298" t="s">
        <v>2823</v>
      </c>
      <c r="VL3" s="298" t="s">
        <v>241</v>
      </c>
      <c r="VM3" s="299" t="s">
        <v>242</v>
      </c>
      <c r="VN3" s="300" t="s">
        <v>773</v>
      </c>
      <c r="VO3" s="301" t="s">
        <v>1692</v>
      </c>
    </row>
    <row r="4" spans="1:587">
      <c r="A4" s="1" t="s">
        <v>323</v>
      </c>
      <c r="B4" s="211">
        <v>1</v>
      </c>
      <c r="C4" s="211">
        <v>2</v>
      </c>
      <c r="D4" s="211">
        <v>3</v>
      </c>
      <c r="E4" s="211">
        <v>4</v>
      </c>
      <c r="F4" s="211">
        <v>5</v>
      </c>
      <c r="G4" s="211">
        <v>6</v>
      </c>
      <c r="H4" s="211">
        <v>7</v>
      </c>
      <c r="I4" s="211">
        <v>8</v>
      </c>
      <c r="J4" s="211">
        <v>9</v>
      </c>
      <c r="K4" s="211">
        <v>10</v>
      </c>
      <c r="L4" s="211">
        <v>11</v>
      </c>
      <c r="M4" s="211">
        <v>12</v>
      </c>
      <c r="N4" s="211">
        <v>13</v>
      </c>
      <c r="O4" s="211">
        <v>14</v>
      </c>
      <c r="P4" s="211">
        <v>15</v>
      </c>
      <c r="Q4" s="211">
        <v>16</v>
      </c>
      <c r="R4" s="211">
        <v>17</v>
      </c>
      <c r="S4" s="211">
        <v>18</v>
      </c>
      <c r="T4" s="211">
        <v>19</v>
      </c>
      <c r="U4" s="211">
        <v>20</v>
      </c>
      <c r="V4" s="211">
        <v>21</v>
      </c>
      <c r="W4" s="211">
        <v>22</v>
      </c>
      <c r="X4" s="211">
        <v>23</v>
      </c>
      <c r="Y4" s="211">
        <v>24</v>
      </c>
      <c r="Z4" s="211">
        <v>25</v>
      </c>
      <c r="AA4" s="211">
        <v>26</v>
      </c>
      <c r="AB4" s="211">
        <v>27</v>
      </c>
      <c r="AC4" s="211">
        <v>28</v>
      </c>
      <c r="AD4" s="211">
        <v>29</v>
      </c>
      <c r="AE4" s="211">
        <v>30</v>
      </c>
      <c r="AF4" s="211">
        <v>31</v>
      </c>
      <c r="AG4" s="211">
        <v>32</v>
      </c>
      <c r="AH4" s="211">
        <v>33</v>
      </c>
      <c r="AI4" s="211">
        <v>34</v>
      </c>
      <c r="AJ4" s="211">
        <v>35</v>
      </c>
      <c r="AK4" s="211">
        <v>36</v>
      </c>
      <c r="AL4" s="211">
        <v>37</v>
      </c>
      <c r="AM4" s="211">
        <v>38</v>
      </c>
      <c r="AN4" s="211">
        <v>39</v>
      </c>
      <c r="AO4" s="211">
        <v>40</v>
      </c>
      <c r="AP4" s="211">
        <v>41</v>
      </c>
      <c r="AQ4" s="211">
        <v>42</v>
      </c>
      <c r="AR4" s="211">
        <v>43</v>
      </c>
      <c r="AS4" s="211">
        <v>44</v>
      </c>
      <c r="AT4" s="211">
        <v>45</v>
      </c>
      <c r="AU4" s="211">
        <v>46</v>
      </c>
      <c r="AV4" s="211">
        <v>47</v>
      </c>
      <c r="AW4" s="211">
        <v>48</v>
      </c>
      <c r="AX4" s="211">
        <v>49</v>
      </c>
      <c r="AY4" s="211">
        <v>50</v>
      </c>
      <c r="AZ4" s="211">
        <v>51</v>
      </c>
      <c r="BA4" s="211">
        <v>52</v>
      </c>
      <c r="BB4" s="211">
        <v>53</v>
      </c>
      <c r="BC4" s="211">
        <v>54</v>
      </c>
      <c r="BD4" s="211">
        <v>55</v>
      </c>
      <c r="BE4" s="211">
        <v>56</v>
      </c>
      <c r="BF4" s="211">
        <v>57</v>
      </c>
      <c r="BG4" s="211">
        <v>58</v>
      </c>
      <c r="BH4" s="211">
        <v>59</v>
      </c>
      <c r="BI4" s="211">
        <v>60</v>
      </c>
      <c r="BJ4" s="211">
        <v>61</v>
      </c>
      <c r="BK4" s="211">
        <v>62</v>
      </c>
      <c r="BL4" s="211">
        <v>63</v>
      </c>
      <c r="BM4" s="211">
        <v>64</v>
      </c>
      <c r="BN4" s="211">
        <v>65</v>
      </c>
      <c r="BO4" s="211">
        <v>66</v>
      </c>
      <c r="BP4" s="211">
        <v>67</v>
      </c>
      <c r="BQ4" s="211">
        <v>68</v>
      </c>
      <c r="BR4" s="211">
        <v>69</v>
      </c>
      <c r="BS4" s="211">
        <v>70</v>
      </c>
      <c r="BT4" s="211">
        <v>71</v>
      </c>
      <c r="BU4" s="211">
        <v>72</v>
      </c>
      <c r="BV4" s="211">
        <v>73</v>
      </c>
      <c r="BW4" s="211">
        <v>74</v>
      </c>
      <c r="BX4" s="211">
        <v>75</v>
      </c>
      <c r="BY4" s="211">
        <v>76</v>
      </c>
      <c r="BZ4" s="211">
        <v>77</v>
      </c>
      <c r="CA4" s="211">
        <v>78</v>
      </c>
      <c r="CB4" s="211">
        <v>79</v>
      </c>
      <c r="CC4" s="211">
        <v>80</v>
      </c>
      <c r="CD4" s="211">
        <v>81</v>
      </c>
      <c r="CE4" s="211">
        <v>82</v>
      </c>
      <c r="CF4" s="211">
        <v>83</v>
      </c>
      <c r="CG4" s="211">
        <v>84</v>
      </c>
      <c r="CH4" s="211">
        <v>85</v>
      </c>
      <c r="CI4" s="211">
        <v>86</v>
      </c>
      <c r="CJ4" s="211">
        <v>87</v>
      </c>
      <c r="CK4" s="211">
        <v>88</v>
      </c>
      <c r="CL4" s="211">
        <v>89</v>
      </c>
      <c r="CM4" s="211">
        <v>90</v>
      </c>
      <c r="CN4" s="211">
        <v>91</v>
      </c>
      <c r="CO4" s="211">
        <v>92</v>
      </c>
      <c r="CP4" s="211">
        <v>93</v>
      </c>
      <c r="CQ4" s="211">
        <v>94</v>
      </c>
      <c r="CR4" s="211">
        <v>95</v>
      </c>
      <c r="CS4" s="211">
        <v>96</v>
      </c>
      <c r="CT4" s="211">
        <v>97</v>
      </c>
      <c r="CU4" s="211">
        <v>98</v>
      </c>
      <c r="CV4" s="211">
        <v>99</v>
      </c>
      <c r="CW4" s="211">
        <v>100</v>
      </c>
      <c r="CX4" s="211">
        <v>101</v>
      </c>
      <c r="CY4" s="211">
        <v>102</v>
      </c>
      <c r="CZ4" s="211">
        <v>103</v>
      </c>
      <c r="DA4" s="211">
        <v>104</v>
      </c>
      <c r="DB4" s="211">
        <v>105</v>
      </c>
      <c r="DC4" s="211">
        <v>106</v>
      </c>
      <c r="DD4" s="211">
        <v>107</v>
      </c>
      <c r="DE4" s="211">
        <v>108</v>
      </c>
      <c r="DF4" s="211">
        <v>109</v>
      </c>
      <c r="DG4" s="211">
        <v>110</v>
      </c>
      <c r="DH4" s="211">
        <v>111</v>
      </c>
      <c r="DI4" s="211">
        <v>112</v>
      </c>
      <c r="DJ4" s="211">
        <v>113</v>
      </c>
      <c r="DK4" s="211">
        <v>114</v>
      </c>
      <c r="DL4" s="211">
        <v>115</v>
      </c>
      <c r="DM4" s="211">
        <v>116</v>
      </c>
      <c r="DN4" s="211">
        <v>117</v>
      </c>
      <c r="DO4" s="211">
        <v>118</v>
      </c>
      <c r="DP4" s="211">
        <v>119</v>
      </c>
      <c r="DQ4" s="211">
        <v>120</v>
      </c>
      <c r="DR4" s="211">
        <v>121</v>
      </c>
      <c r="DS4" s="211">
        <v>122</v>
      </c>
      <c r="DT4" s="211">
        <v>123</v>
      </c>
      <c r="DU4" s="211">
        <v>124</v>
      </c>
      <c r="DV4" s="211">
        <v>125</v>
      </c>
      <c r="DW4" s="211">
        <v>126</v>
      </c>
      <c r="DX4" s="211">
        <v>127</v>
      </c>
      <c r="DY4" s="211">
        <v>128</v>
      </c>
      <c r="DZ4" s="211">
        <v>129</v>
      </c>
      <c r="EA4" s="211">
        <v>130</v>
      </c>
      <c r="EB4" s="211">
        <v>131</v>
      </c>
      <c r="EC4" s="211">
        <v>132</v>
      </c>
      <c r="ED4" s="211">
        <v>133</v>
      </c>
      <c r="EE4" s="211">
        <v>134</v>
      </c>
      <c r="EF4" s="211">
        <v>135</v>
      </c>
      <c r="EG4" s="211">
        <v>136</v>
      </c>
      <c r="EH4" s="211">
        <v>137</v>
      </c>
      <c r="EI4" s="211">
        <v>138</v>
      </c>
      <c r="EJ4" s="211">
        <v>139</v>
      </c>
      <c r="EK4" s="211">
        <v>140</v>
      </c>
      <c r="EL4" s="211">
        <v>141</v>
      </c>
      <c r="EM4" s="211">
        <v>142</v>
      </c>
      <c r="EN4" s="211">
        <v>143</v>
      </c>
      <c r="EO4" s="211">
        <v>144</v>
      </c>
      <c r="EP4" s="211">
        <v>145</v>
      </c>
      <c r="EQ4" s="211">
        <v>146</v>
      </c>
      <c r="ER4" s="211">
        <v>147</v>
      </c>
      <c r="ES4" s="211">
        <v>148</v>
      </c>
      <c r="ET4" s="211">
        <v>149</v>
      </c>
      <c r="EU4" s="211">
        <v>150</v>
      </c>
      <c r="EV4" s="211">
        <v>151</v>
      </c>
      <c r="EW4" s="211">
        <v>152</v>
      </c>
      <c r="EX4" s="211">
        <v>153</v>
      </c>
      <c r="EY4" s="211">
        <v>154</v>
      </c>
      <c r="EZ4" s="211">
        <v>155</v>
      </c>
      <c r="FA4" s="211">
        <v>156</v>
      </c>
      <c r="FB4" s="211">
        <v>157</v>
      </c>
      <c r="FC4" s="211">
        <v>158</v>
      </c>
      <c r="FD4" s="211">
        <v>159</v>
      </c>
      <c r="FE4" s="211">
        <v>160</v>
      </c>
      <c r="FF4" s="211">
        <v>161</v>
      </c>
      <c r="FG4" s="211">
        <v>162</v>
      </c>
      <c r="FH4" s="211">
        <v>163</v>
      </c>
      <c r="FI4" s="211">
        <v>164</v>
      </c>
      <c r="FJ4" s="211">
        <v>165</v>
      </c>
      <c r="FK4" s="211">
        <v>166</v>
      </c>
      <c r="FL4" s="211">
        <v>167</v>
      </c>
      <c r="FM4" s="211">
        <v>168</v>
      </c>
      <c r="FN4" s="211">
        <v>169</v>
      </c>
      <c r="FO4" s="211">
        <v>170</v>
      </c>
      <c r="FP4" s="211">
        <v>171</v>
      </c>
      <c r="FQ4" s="211">
        <v>172</v>
      </c>
      <c r="FR4" s="211">
        <v>173</v>
      </c>
      <c r="FS4" s="211">
        <v>174</v>
      </c>
      <c r="FT4" s="211">
        <v>175</v>
      </c>
      <c r="FU4" s="211">
        <v>176</v>
      </c>
      <c r="FV4" s="211">
        <v>177</v>
      </c>
      <c r="FW4" s="211">
        <v>178</v>
      </c>
      <c r="FX4" s="211">
        <v>179</v>
      </c>
      <c r="FY4" s="211">
        <v>180</v>
      </c>
      <c r="FZ4" s="211">
        <v>181</v>
      </c>
      <c r="GA4" s="211">
        <v>182</v>
      </c>
      <c r="GB4" s="211">
        <v>183</v>
      </c>
      <c r="GC4" s="211">
        <v>184</v>
      </c>
      <c r="GD4" s="211">
        <v>185</v>
      </c>
      <c r="GE4" s="211">
        <v>186</v>
      </c>
      <c r="GF4" s="211">
        <v>187</v>
      </c>
      <c r="GG4" s="211">
        <v>188</v>
      </c>
      <c r="GH4" s="211">
        <v>189</v>
      </c>
      <c r="GI4" s="211">
        <v>190</v>
      </c>
      <c r="GJ4" s="211">
        <v>191</v>
      </c>
      <c r="GK4" s="211">
        <v>192</v>
      </c>
      <c r="GL4" s="211">
        <v>193</v>
      </c>
      <c r="GM4" s="211">
        <v>194</v>
      </c>
      <c r="GN4" s="211">
        <v>195</v>
      </c>
      <c r="GO4" s="211">
        <v>196</v>
      </c>
      <c r="GP4" s="211">
        <v>197</v>
      </c>
      <c r="GQ4" s="211">
        <v>198</v>
      </c>
      <c r="GR4" s="211">
        <v>199</v>
      </c>
      <c r="GS4" s="211">
        <v>200</v>
      </c>
      <c r="GT4" s="211">
        <v>201</v>
      </c>
      <c r="GU4" s="211">
        <v>202</v>
      </c>
      <c r="GV4" s="211">
        <v>203</v>
      </c>
      <c r="GW4" s="211">
        <v>204</v>
      </c>
      <c r="GX4" s="211">
        <v>205</v>
      </c>
      <c r="GY4" s="211">
        <v>206</v>
      </c>
      <c r="GZ4" s="211">
        <v>207</v>
      </c>
      <c r="HA4" s="211">
        <v>208</v>
      </c>
      <c r="HB4" s="211">
        <v>209</v>
      </c>
      <c r="HC4" s="211">
        <v>210</v>
      </c>
      <c r="HD4" s="211">
        <v>211</v>
      </c>
      <c r="HE4" s="211">
        <v>212</v>
      </c>
      <c r="HF4" s="211">
        <v>213</v>
      </c>
      <c r="HG4" s="211">
        <v>214</v>
      </c>
      <c r="HH4" s="211">
        <v>215</v>
      </c>
      <c r="HI4" s="211">
        <v>216</v>
      </c>
      <c r="HJ4" s="211">
        <v>217</v>
      </c>
      <c r="HK4" s="211">
        <v>218</v>
      </c>
      <c r="HL4" s="211">
        <v>219</v>
      </c>
      <c r="HM4" s="211">
        <v>220</v>
      </c>
      <c r="HN4" s="211">
        <v>221</v>
      </c>
      <c r="HO4" s="211">
        <v>222</v>
      </c>
      <c r="HP4" s="211">
        <v>223</v>
      </c>
      <c r="HQ4" s="211">
        <v>224</v>
      </c>
      <c r="HR4" s="211">
        <v>225</v>
      </c>
      <c r="HS4" s="211">
        <v>226</v>
      </c>
      <c r="HT4" s="211">
        <v>227</v>
      </c>
      <c r="HU4" s="211">
        <v>228</v>
      </c>
      <c r="HV4" s="211">
        <v>229</v>
      </c>
      <c r="HW4" s="211">
        <v>230</v>
      </c>
      <c r="HX4" s="211">
        <v>231</v>
      </c>
      <c r="HY4" s="211">
        <v>232</v>
      </c>
      <c r="HZ4" s="211">
        <v>233</v>
      </c>
      <c r="IA4" s="211">
        <v>234</v>
      </c>
      <c r="IB4" s="211">
        <v>235</v>
      </c>
      <c r="IC4" s="211">
        <v>236</v>
      </c>
      <c r="ID4" s="211">
        <v>237</v>
      </c>
      <c r="IE4" s="211">
        <v>238</v>
      </c>
      <c r="IF4" s="211">
        <v>239</v>
      </c>
      <c r="IG4" s="211">
        <v>240</v>
      </c>
      <c r="IH4" s="211">
        <v>241</v>
      </c>
      <c r="II4" s="211">
        <v>242</v>
      </c>
      <c r="IJ4" s="211">
        <v>243</v>
      </c>
      <c r="IK4" s="211">
        <v>244</v>
      </c>
      <c r="IL4" s="211">
        <v>245</v>
      </c>
      <c r="IM4" s="211">
        <v>246</v>
      </c>
      <c r="IN4" s="211">
        <v>247</v>
      </c>
      <c r="IO4" s="211">
        <v>248</v>
      </c>
      <c r="IP4" s="211">
        <v>249</v>
      </c>
      <c r="IQ4" s="211">
        <v>250</v>
      </c>
      <c r="IR4" s="211">
        <v>251</v>
      </c>
      <c r="IS4" s="211">
        <v>252</v>
      </c>
      <c r="IT4" s="211">
        <v>253</v>
      </c>
      <c r="IU4" s="211">
        <v>254</v>
      </c>
      <c r="IV4" s="211">
        <v>255</v>
      </c>
      <c r="IW4" s="211">
        <v>256</v>
      </c>
      <c r="IX4" s="211">
        <v>257</v>
      </c>
      <c r="IY4" s="211">
        <v>258</v>
      </c>
      <c r="IZ4" s="211">
        <v>259</v>
      </c>
      <c r="JA4" s="211">
        <v>260</v>
      </c>
      <c r="JB4" s="211">
        <v>261</v>
      </c>
      <c r="JC4" s="211">
        <v>262</v>
      </c>
      <c r="JD4" s="211">
        <v>263</v>
      </c>
      <c r="JE4" s="211">
        <v>264</v>
      </c>
      <c r="JF4" s="211">
        <v>265</v>
      </c>
      <c r="JG4" s="211">
        <v>266</v>
      </c>
      <c r="JH4" s="211">
        <v>267</v>
      </c>
      <c r="JI4" s="211">
        <v>268</v>
      </c>
      <c r="JJ4" s="211">
        <v>269</v>
      </c>
      <c r="JK4" s="211">
        <v>270</v>
      </c>
      <c r="JL4" s="211">
        <v>271</v>
      </c>
      <c r="JM4" s="211">
        <v>272</v>
      </c>
      <c r="JN4" s="211">
        <v>273</v>
      </c>
      <c r="JO4" s="211">
        <v>274</v>
      </c>
      <c r="JP4" s="211">
        <v>275</v>
      </c>
      <c r="JQ4" s="211">
        <v>276</v>
      </c>
      <c r="JR4" s="211">
        <v>277</v>
      </c>
      <c r="JS4" s="211">
        <v>278</v>
      </c>
      <c r="JT4" s="211">
        <v>279</v>
      </c>
      <c r="JU4" s="211">
        <v>280</v>
      </c>
      <c r="JV4" s="211">
        <v>281</v>
      </c>
      <c r="JW4" s="211">
        <v>282</v>
      </c>
      <c r="JX4" s="211">
        <v>283</v>
      </c>
      <c r="JY4" s="211">
        <v>284</v>
      </c>
      <c r="JZ4" s="211">
        <v>285</v>
      </c>
      <c r="KA4" s="211">
        <v>286</v>
      </c>
      <c r="KB4" s="211">
        <v>287</v>
      </c>
      <c r="KC4" s="211">
        <v>288</v>
      </c>
      <c r="KD4" s="211">
        <v>289</v>
      </c>
      <c r="KE4" s="211">
        <v>290</v>
      </c>
      <c r="KF4" s="211">
        <v>291</v>
      </c>
      <c r="KG4" s="211">
        <v>292</v>
      </c>
      <c r="KH4" s="211">
        <v>293</v>
      </c>
      <c r="KI4" s="211">
        <v>294</v>
      </c>
      <c r="KJ4" s="211">
        <v>295</v>
      </c>
      <c r="KK4" s="211">
        <v>296</v>
      </c>
      <c r="KL4" s="211">
        <v>297</v>
      </c>
      <c r="KM4" s="211">
        <v>298</v>
      </c>
      <c r="KN4" s="211">
        <v>299</v>
      </c>
      <c r="KO4" s="211">
        <v>300</v>
      </c>
      <c r="KP4" s="211">
        <v>301</v>
      </c>
      <c r="KQ4" s="211">
        <v>302</v>
      </c>
      <c r="KR4" s="211">
        <v>303</v>
      </c>
      <c r="KS4" s="211">
        <v>304</v>
      </c>
      <c r="KT4" s="211">
        <v>305</v>
      </c>
      <c r="KU4" s="211">
        <v>306</v>
      </c>
      <c r="KV4" s="211">
        <v>307</v>
      </c>
      <c r="KW4" s="211">
        <v>308</v>
      </c>
      <c r="KX4" s="211">
        <v>309</v>
      </c>
      <c r="KY4" s="211">
        <v>310</v>
      </c>
      <c r="KZ4" s="211">
        <v>311</v>
      </c>
      <c r="LA4" s="211">
        <v>312</v>
      </c>
      <c r="LB4" s="211">
        <v>313</v>
      </c>
      <c r="LC4" s="211">
        <v>314</v>
      </c>
      <c r="LD4" s="211">
        <v>315</v>
      </c>
      <c r="LE4" s="211">
        <v>316</v>
      </c>
      <c r="LF4" s="211">
        <v>317</v>
      </c>
      <c r="LG4" s="211">
        <v>318</v>
      </c>
      <c r="LH4" s="211">
        <v>319</v>
      </c>
      <c r="LI4" s="211">
        <v>320</v>
      </c>
      <c r="LJ4" s="211">
        <v>321</v>
      </c>
      <c r="LK4" s="211">
        <v>322</v>
      </c>
      <c r="LL4" s="211">
        <v>323</v>
      </c>
      <c r="LM4" s="211">
        <v>324</v>
      </c>
      <c r="LN4" s="211">
        <v>325</v>
      </c>
      <c r="LO4" s="211">
        <v>326</v>
      </c>
      <c r="LP4" s="211">
        <v>327</v>
      </c>
      <c r="LQ4" s="211">
        <v>328</v>
      </c>
      <c r="LR4" s="211">
        <v>329</v>
      </c>
      <c r="LS4" s="211">
        <v>330</v>
      </c>
      <c r="LT4" s="211">
        <v>331</v>
      </c>
      <c r="LU4" s="211">
        <v>332</v>
      </c>
      <c r="LV4" s="211">
        <v>333</v>
      </c>
      <c r="LW4" s="211">
        <v>334</v>
      </c>
      <c r="LX4" s="211">
        <v>335</v>
      </c>
      <c r="LY4" s="211">
        <v>336</v>
      </c>
      <c r="LZ4" s="211">
        <v>337</v>
      </c>
      <c r="MA4" s="211">
        <v>338</v>
      </c>
      <c r="MB4" s="211">
        <v>339</v>
      </c>
      <c r="MC4" s="211">
        <v>340</v>
      </c>
      <c r="MD4" s="211">
        <v>341</v>
      </c>
      <c r="ME4" s="211">
        <v>342</v>
      </c>
      <c r="MF4" s="211">
        <v>343</v>
      </c>
      <c r="MG4" s="211">
        <v>344</v>
      </c>
      <c r="MH4" s="211">
        <v>345</v>
      </c>
      <c r="MI4" s="211">
        <v>346</v>
      </c>
      <c r="MJ4" s="211">
        <v>347</v>
      </c>
      <c r="MK4" s="211">
        <v>348</v>
      </c>
      <c r="ML4" s="211">
        <v>349</v>
      </c>
      <c r="MM4" s="211">
        <v>350</v>
      </c>
      <c r="MN4" s="211">
        <v>351</v>
      </c>
      <c r="MO4" s="211">
        <v>352</v>
      </c>
      <c r="MP4" s="211">
        <v>353</v>
      </c>
      <c r="MQ4" s="211">
        <v>354</v>
      </c>
      <c r="MR4" s="211">
        <v>355</v>
      </c>
      <c r="MS4" s="211">
        <v>356</v>
      </c>
      <c r="MT4" s="211">
        <v>357</v>
      </c>
      <c r="MU4" s="211">
        <v>358</v>
      </c>
      <c r="MV4" s="211">
        <v>359</v>
      </c>
      <c r="MW4" s="211">
        <v>360</v>
      </c>
      <c r="MX4" s="211">
        <v>361</v>
      </c>
      <c r="MY4" s="211">
        <v>362</v>
      </c>
      <c r="MZ4" s="211">
        <v>363</v>
      </c>
      <c r="NA4" s="211">
        <v>364</v>
      </c>
      <c r="NB4" s="211">
        <v>365</v>
      </c>
      <c r="NC4" s="211">
        <v>366</v>
      </c>
      <c r="ND4" s="211">
        <v>367</v>
      </c>
      <c r="NE4" s="211">
        <v>368</v>
      </c>
      <c r="NF4" s="211">
        <v>369</v>
      </c>
      <c r="NG4" s="211">
        <v>370</v>
      </c>
      <c r="NH4" s="211">
        <v>371</v>
      </c>
      <c r="NI4" s="211">
        <v>372</v>
      </c>
      <c r="NJ4" s="211">
        <v>373</v>
      </c>
      <c r="NK4" s="211">
        <v>374</v>
      </c>
      <c r="NL4" s="211">
        <v>375</v>
      </c>
      <c r="NM4" s="211">
        <v>376</v>
      </c>
      <c r="NN4" s="211">
        <v>377</v>
      </c>
      <c r="NO4" s="211">
        <v>378</v>
      </c>
      <c r="NP4" s="211">
        <v>379</v>
      </c>
      <c r="NQ4" s="211">
        <v>380</v>
      </c>
      <c r="NR4" s="211">
        <v>381</v>
      </c>
      <c r="NS4" s="211">
        <v>382</v>
      </c>
      <c r="NT4" s="211">
        <v>383</v>
      </c>
      <c r="NU4" s="211">
        <v>384</v>
      </c>
      <c r="NV4" s="211">
        <v>385</v>
      </c>
      <c r="NW4" s="211">
        <v>386</v>
      </c>
      <c r="NX4" s="211">
        <v>387</v>
      </c>
      <c r="NY4" s="211">
        <v>388</v>
      </c>
      <c r="NZ4" s="211">
        <v>389</v>
      </c>
      <c r="OA4" s="211">
        <v>390</v>
      </c>
      <c r="OB4" s="211">
        <v>391</v>
      </c>
      <c r="OC4" s="211">
        <v>392</v>
      </c>
      <c r="OD4" s="211">
        <v>393</v>
      </c>
      <c r="OE4" s="211">
        <v>394</v>
      </c>
      <c r="OF4" s="211">
        <v>395</v>
      </c>
      <c r="OG4" s="211">
        <v>396</v>
      </c>
      <c r="OH4" s="211">
        <v>397</v>
      </c>
      <c r="OI4" s="211">
        <v>398</v>
      </c>
      <c r="OJ4" s="211">
        <v>399</v>
      </c>
      <c r="OK4" s="211">
        <v>400</v>
      </c>
      <c r="OL4" s="211">
        <v>401</v>
      </c>
      <c r="OM4" s="211">
        <v>402</v>
      </c>
      <c r="ON4" s="211">
        <v>403</v>
      </c>
      <c r="OO4" s="211">
        <v>404</v>
      </c>
      <c r="OP4" s="211">
        <v>405</v>
      </c>
      <c r="OQ4" s="211">
        <v>406</v>
      </c>
      <c r="OR4" s="211">
        <v>407</v>
      </c>
      <c r="OS4" s="211">
        <v>408</v>
      </c>
      <c r="OT4" s="211">
        <v>409</v>
      </c>
      <c r="OU4" s="211">
        <v>410</v>
      </c>
      <c r="OV4" s="211">
        <v>411</v>
      </c>
      <c r="OW4" s="211">
        <v>412</v>
      </c>
      <c r="OX4" s="211">
        <v>413</v>
      </c>
      <c r="OY4" s="211">
        <v>414</v>
      </c>
      <c r="OZ4" s="211">
        <v>415</v>
      </c>
      <c r="PA4" s="211">
        <v>416</v>
      </c>
      <c r="PB4" s="211">
        <v>417</v>
      </c>
      <c r="PC4" s="211">
        <v>418</v>
      </c>
      <c r="PD4" s="211">
        <v>419</v>
      </c>
      <c r="PE4" s="211">
        <v>420</v>
      </c>
      <c r="PF4" s="211">
        <v>421</v>
      </c>
      <c r="PG4" s="211">
        <v>422</v>
      </c>
      <c r="PH4" s="211">
        <v>423</v>
      </c>
      <c r="PI4" s="211">
        <v>424</v>
      </c>
      <c r="PJ4" s="211">
        <v>425</v>
      </c>
      <c r="PK4" s="211">
        <v>426</v>
      </c>
      <c r="PL4" s="211">
        <v>427</v>
      </c>
      <c r="PM4" s="211">
        <v>428</v>
      </c>
      <c r="PN4" s="211">
        <v>429</v>
      </c>
      <c r="PO4" s="211">
        <v>430</v>
      </c>
      <c r="PP4" s="211">
        <v>431</v>
      </c>
      <c r="PQ4" s="211">
        <v>432</v>
      </c>
      <c r="PR4" s="211">
        <v>433</v>
      </c>
      <c r="PS4" s="211">
        <v>434</v>
      </c>
      <c r="PT4" s="211">
        <v>435</v>
      </c>
      <c r="PU4" s="211">
        <v>436</v>
      </c>
      <c r="PV4" s="211">
        <v>437</v>
      </c>
      <c r="PW4" s="211">
        <v>438</v>
      </c>
      <c r="PX4" s="211">
        <v>439</v>
      </c>
      <c r="PY4" s="211">
        <v>440</v>
      </c>
      <c r="PZ4" s="211">
        <v>441</v>
      </c>
      <c r="QA4" s="211">
        <v>442</v>
      </c>
      <c r="QB4" s="211">
        <v>443</v>
      </c>
      <c r="QC4" s="211">
        <v>444</v>
      </c>
      <c r="QD4" s="211">
        <v>445</v>
      </c>
      <c r="QE4" s="211">
        <v>446</v>
      </c>
      <c r="QF4" s="211">
        <v>447</v>
      </c>
      <c r="QG4" s="211">
        <v>448</v>
      </c>
      <c r="QH4" s="211">
        <v>449</v>
      </c>
      <c r="QI4" s="211">
        <v>450</v>
      </c>
      <c r="QJ4" s="211">
        <v>451</v>
      </c>
      <c r="QK4" s="211">
        <v>452</v>
      </c>
      <c r="QL4" s="211">
        <v>453</v>
      </c>
      <c r="QM4" s="211">
        <v>454</v>
      </c>
      <c r="QN4" s="211">
        <v>455</v>
      </c>
      <c r="QO4" s="211">
        <v>456</v>
      </c>
      <c r="QP4" s="211">
        <v>457</v>
      </c>
      <c r="QQ4" s="211">
        <v>458</v>
      </c>
      <c r="QR4" s="211">
        <v>459</v>
      </c>
      <c r="QS4" s="211">
        <v>460</v>
      </c>
      <c r="QT4" s="211">
        <v>461</v>
      </c>
      <c r="QU4" s="211">
        <v>462</v>
      </c>
      <c r="QV4" s="211">
        <v>463</v>
      </c>
      <c r="QW4" s="211">
        <v>464</v>
      </c>
      <c r="QX4" s="211">
        <v>465</v>
      </c>
      <c r="QY4" s="211">
        <v>466</v>
      </c>
      <c r="QZ4" s="211">
        <v>467</v>
      </c>
      <c r="RA4" s="211">
        <v>468</v>
      </c>
      <c r="RB4" s="211">
        <v>469</v>
      </c>
      <c r="RC4" s="211">
        <v>470</v>
      </c>
      <c r="RD4" s="211">
        <v>471</v>
      </c>
      <c r="RE4" s="211">
        <v>472</v>
      </c>
      <c r="RF4" s="211">
        <v>473</v>
      </c>
      <c r="RG4" s="211">
        <v>474</v>
      </c>
      <c r="RH4" s="211">
        <v>475</v>
      </c>
      <c r="RI4" s="211">
        <v>476</v>
      </c>
      <c r="RJ4" s="211">
        <v>477</v>
      </c>
      <c r="RK4" s="211">
        <v>478</v>
      </c>
      <c r="RL4" s="211">
        <v>479</v>
      </c>
      <c r="RM4" s="211">
        <v>480</v>
      </c>
      <c r="RN4" s="211">
        <v>481</v>
      </c>
      <c r="RO4" s="211">
        <v>482</v>
      </c>
      <c r="RP4" s="211">
        <v>483</v>
      </c>
      <c r="RQ4" s="211">
        <v>484</v>
      </c>
      <c r="RR4" s="211">
        <v>485</v>
      </c>
      <c r="RS4" s="211">
        <v>486</v>
      </c>
      <c r="RT4" s="211">
        <v>487</v>
      </c>
      <c r="RU4" s="211">
        <v>488</v>
      </c>
      <c r="RV4" s="211">
        <v>489</v>
      </c>
      <c r="RW4" s="211">
        <v>490</v>
      </c>
      <c r="RX4" s="211">
        <v>491</v>
      </c>
      <c r="RY4" s="211">
        <v>492</v>
      </c>
      <c r="RZ4" s="211">
        <v>493</v>
      </c>
      <c r="SA4" s="211">
        <v>494</v>
      </c>
      <c r="SB4" s="211">
        <v>495</v>
      </c>
      <c r="SC4" s="211">
        <v>496</v>
      </c>
      <c r="SD4" s="211">
        <v>497</v>
      </c>
      <c r="SE4" s="211">
        <v>498</v>
      </c>
      <c r="SF4" s="211">
        <v>499</v>
      </c>
      <c r="SG4" s="211">
        <v>500</v>
      </c>
      <c r="SH4" s="211">
        <v>501</v>
      </c>
      <c r="SI4" s="211">
        <v>502</v>
      </c>
      <c r="SJ4" s="211">
        <v>503</v>
      </c>
      <c r="SK4" s="211">
        <v>504</v>
      </c>
      <c r="SL4" s="211">
        <v>505</v>
      </c>
      <c r="SM4" s="211">
        <v>506</v>
      </c>
      <c r="SN4" s="211">
        <v>507</v>
      </c>
      <c r="SO4" s="211">
        <v>508</v>
      </c>
      <c r="SP4" s="211">
        <v>509</v>
      </c>
      <c r="SQ4" s="211">
        <v>510</v>
      </c>
      <c r="SR4" s="211">
        <v>511</v>
      </c>
      <c r="SS4" s="211">
        <v>512</v>
      </c>
      <c r="ST4" s="211">
        <v>513</v>
      </c>
      <c r="SU4" s="211">
        <v>514</v>
      </c>
      <c r="SV4" s="211">
        <v>515</v>
      </c>
      <c r="SW4" s="211">
        <v>516</v>
      </c>
      <c r="SX4" s="211">
        <v>517</v>
      </c>
      <c r="SY4" s="211">
        <v>518</v>
      </c>
      <c r="SZ4" s="211">
        <v>519</v>
      </c>
      <c r="TA4" s="211">
        <v>520</v>
      </c>
      <c r="TB4" s="211">
        <v>521</v>
      </c>
      <c r="TC4" s="211">
        <v>522</v>
      </c>
      <c r="TD4" s="211">
        <v>523</v>
      </c>
      <c r="TE4" s="211">
        <v>524</v>
      </c>
      <c r="TF4" s="211">
        <v>525</v>
      </c>
      <c r="TG4" s="211">
        <v>526</v>
      </c>
      <c r="TH4" s="211">
        <v>527</v>
      </c>
      <c r="TI4" s="211">
        <v>528</v>
      </c>
      <c r="TJ4" s="211">
        <v>529</v>
      </c>
      <c r="TK4" s="211">
        <v>530</v>
      </c>
      <c r="TL4" s="211">
        <v>531</v>
      </c>
      <c r="TM4" s="211">
        <v>532</v>
      </c>
      <c r="TN4" s="211">
        <v>533</v>
      </c>
      <c r="TO4" s="211">
        <v>534</v>
      </c>
      <c r="TP4" s="211">
        <v>535</v>
      </c>
      <c r="TQ4" s="211">
        <v>536</v>
      </c>
      <c r="TR4" s="211">
        <v>537</v>
      </c>
      <c r="TS4" s="211">
        <v>538</v>
      </c>
      <c r="TT4" s="211">
        <v>539</v>
      </c>
      <c r="TU4" s="211">
        <v>540</v>
      </c>
      <c r="TV4" s="211">
        <v>541</v>
      </c>
      <c r="TW4" s="211">
        <v>542</v>
      </c>
      <c r="TX4" s="211">
        <v>543</v>
      </c>
      <c r="TY4" s="211">
        <v>544</v>
      </c>
      <c r="TZ4" s="211">
        <v>545</v>
      </c>
      <c r="UA4" s="211">
        <v>546</v>
      </c>
      <c r="UB4" s="211">
        <v>547</v>
      </c>
      <c r="UC4" s="211">
        <v>548</v>
      </c>
      <c r="UD4" s="211">
        <v>549</v>
      </c>
      <c r="UE4" s="211">
        <v>550</v>
      </c>
      <c r="UF4" s="211">
        <v>551</v>
      </c>
      <c r="UG4" s="211">
        <v>552</v>
      </c>
      <c r="UH4" s="211">
        <v>553</v>
      </c>
      <c r="UI4" s="211">
        <v>554</v>
      </c>
      <c r="UJ4" s="211">
        <v>555</v>
      </c>
      <c r="UK4" s="211">
        <v>556</v>
      </c>
      <c r="UL4" s="211">
        <v>557</v>
      </c>
      <c r="UM4" s="211">
        <v>558</v>
      </c>
      <c r="UN4" s="211">
        <v>559</v>
      </c>
      <c r="UO4" s="211">
        <v>560</v>
      </c>
      <c r="UP4" s="211">
        <v>561</v>
      </c>
      <c r="UQ4" s="211">
        <v>562</v>
      </c>
      <c r="UR4" s="211">
        <v>563</v>
      </c>
      <c r="US4" s="211">
        <v>564</v>
      </c>
      <c r="UT4" s="211">
        <v>565</v>
      </c>
      <c r="UU4" s="211">
        <v>566</v>
      </c>
      <c r="UV4" s="211">
        <v>567</v>
      </c>
      <c r="UW4" s="211">
        <v>568</v>
      </c>
      <c r="UX4" s="211">
        <v>569</v>
      </c>
      <c r="UY4" s="211">
        <v>570</v>
      </c>
      <c r="UZ4" s="211">
        <v>571</v>
      </c>
      <c r="VA4" s="211">
        <v>572</v>
      </c>
      <c r="VB4" s="211">
        <v>573</v>
      </c>
      <c r="VC4" s="211">
        <v>574</v>
      </c>
      <c r="VD4" s="211">
        <v>575</v>
      </c>
      <c r="VE4" s="211">
        <v>576</v>
      </c>
      <c r="VF4" s="211">
        <v>577</v>
      </c>
      <c r="VG4" s="211">
        <v>578</v>
      </c>
      <c r="VH4" s="211">
        <v>579</v>
      </c>
      <c r="VI4" s="211">
        <v>580</v>
      </c>
      <c r="VJ4" s="211">
        <v>581</v>
      </c>
      <c r="VK4" s="211">
        <v>582</v>
      </c>
      <c r="VL4" s="211">
        <v>583</v>
      </c>
      <c r="VM4" s="211">
        <v>584</v>
      </c>
      <c r="VN4" s="211">
        <v>585</v>
      </c>
      <c r="VO4" s="211">
        <v>586</v>
      </c>
    </row>
    <row r="5" spans="1:587">
      <c r="A5" s="1" t="s">
        <v>3237</v>
      </c>
      <c r="B5" s="211" t="s">
        <v>3356</v>
      </c>
      <c r="C5" s="211" t="s">
        <v>3357</v>
      </c>
      <c r="D5" s="211" t="s">
        <v>269</v>
      </c>
      <c r="E5" s="211" t="s">
        <v>3358</v>
      </c>
      <c r="F5" s="211" t="s">
        <v>3359</v>
      </c>
      <c r="G5" s="211" t="s">
        <v>295</v>
      </c>
      <c r="H5" s="211" t="s">
        <v>3360</v>
      </c>
      <c r="I5" s="211" t="s">
        <v>3361</v>
      </c>
      <c r="J5" s="211" t="s">
        <v>3362</v>
      </c>
      <c r="K5" s="211" t="s">
        <v>3363</v>
      </c>
      <c r="L5" s="211" t="s">
        <v>3364</v>
      </c>
      <c r="M5" s="211" t="s">
        <v>1550</v>
      </c>
      <c r="N5" s="211" t="s">
        <v>3365</v>
      </c>
      <c r="O5" s="211" t="s">
        <v>3366</v>
      </c>
      <c r="P5" s="211" t="s">
        <v>3367</v>
      </c>
      <c r="Q5" s="211" t="s">
        <v>3368</v>
      </c>
      <c r="R5" s="211" t="s">
        <v>3369</v>
      </c>
      <c r="S5" s="211" t="s">
        <v>3370</v>
      </c>
      <c r="T5" s="211" t="s">
        <v>3371</v>
      </c>
      <c r="U5" s="211" t="s">
        <v>3372</v>
      </c>
      <c r="V5" s="211" t="s">
        <v>3373</v>
      </c>
      <c r="W5" s="211" t="s">
        <v>3374</v>
      </c>
      <c r="X5" s="211" t="s">
        <v>3375</v>
      </c>
      <c r="Y5" s="211" t="s">
        <v>3376</v>
      </c>
      <c r="Z5" s="211" t="s">
        <v>3377</v>
      </c>
      <c r="AA5" s="211" t="s">
        <v>3378</v>
      </c>
      <c r="AB5" s="211" t="s">
        <v>3379</v>
      </c>
      <c r="AC5" s="211" t="s">
        <v>3381</v>
      </c>
      <c r="AD5" s="211" t="s">
        <v>3382</v>
      </c>
      <c r="AE5" s="211" t="s">
        <v>3383</v>
      </c>
      <c r="AF5" s="211" t="s">
        <v>3384</v>
      </c>
      <c r="AG5" s="211" t="s">
        <v>3385</v>
      </c>
      <c r="AH5" s="211" t="s">
        <v>3392</v>
      </c>
      <c r="AI5" s="211" t="s">
        <v>3386</v>
      </c>
      <c r="AJ5" s="211" t="s">
        <v>3387</v>
      </c>
      <c r="AK5" s="211" t="s">
        <v>3388</v>
      </c>
      <c r="AL5" s="211" t="s">
        <v>3389</v>
      </c>
      <c r="AM5" s="211" t="s">
        <v>3390</v>
      </c>
      <c r="AN5" s="211" t="s">
        <v>3391</v>
      </c>
      <c r="AO5" s="211" t="s">
        <v>3393</v>
      </c>
      <c r="AP5" s="211" t="s">
        <v>3394</v>
      </c>
      <c r="AQ5" s="211" t="s">
        <v>3395</v>
      </c>
      <c r="AR5" s="211" t="s">
        <v>3396</v>
      </c>
      <c r="AS5" s="211" t="s">
        <v>3397</v>
      </c>
      <c r="AT5" s="211" t="s">
        <v>3398</v>
      </c>
      <c r="AU5" s="211" t="s">
        <v>3399</v>
      </c>
      <c r="AV5" s="211" t="s">
        <v>3400</v>
      </c>
      <c r="AW5" s="211" t="s">
        <v>3401</v>
      </c>
      <c r="AX5" s="211" t="s">
        <v>3402</v>
      </c>
      <c r="AY5" s="211" t="s">
        <v>3403</v>
      </c>
      <c r="AZ5" s="211" t="s">
        <v>3404</v>
      </c>
      <c r="BA5" s="211" t="s">
        <v>3405</v>
      </c>
      <c r="BB5" s="286" t="s">
        <v>3406</v>
      </c>
      <c r="BC5" s="211" t="s">
        <v>3407</v>
      </c>
      <c r="BD5" s="211" t="s">
        <v>3408</v>
      </c>
      <c r="BE5" s="211" t="s">
        <v>4826</v>
      </c>
      <c r="BF5" s="211" t="s">
        <v>4827</v>
      </c>
      <c r="BG5" s="211" t="s">
        <v>4828</v>
      </c>
      <c r="BH5" s="211" t="s">
        <v>4829</v>
      </c>
      <c r="BI5" s="211" t="s">
        <v>4830</v>
      </c>
      <c r="BJ5" s="211" t="s">
        <v>3409</v>
      </c>
      <c r="BK5" s="211" t="s">
        <v>3410</v>
      </c>
      <c r="BL5" s="211" t="s">
        <v>3411</v>
      </c>
      <c r="BM5" s="211" t="s">
        <v>3412</v>
      </c>
      <c r="BN5" s="211" t="s">
        <v>3413</v>
      </c>
      <c r="BO5" s="211" t="s">
        <v>3414</v>
      </c>
      <c r="BP5" s="211" t="s">
        <v>3415</v>
      </c>
      <c r="BQ5" s="211" t="s">
        <v>3416</v>
      </c>
      <c r="BR5" s="211" t="s">
        <v>3417</v>
      </c>
      <c r="BS5" s="211" t="s">
        <v>3418</v>
      </c>
      <c r="BT5" s="211" t="s">
        <v>3419</v>
      </c>
      <c r="BU5" s="211" t="s">
        <v>3420</v>
      </c>
      <c r="BV5" s="211" t="s">
        <v>3421</v>
      </c>
      <c r="BW5" s="211" t="s">
        <v>3403</v>
      </c>
      <c r="BX5" s="211" t="s">
        <v>3371</v>
      </c>
      <c r="BY5" s="211" t="s">
        <v>3424</v>
      </c>
      <c r="BZ5" s="211" t="s">
        <v>3425</v>
      </c>
      <c r="CA5" s="211" t="s">
        <v>3426</v>
      </c>
      <c r="CB5" s="211" t="s">
        <v>3427</v>
      </c>
      <c r="CC5" s="211" t="s">
        <v>4860</v>
      </c>
      <c r="CD5" s="211" t="s">
        <v>4861</v>
      </c>
      <c r="CE5" s="211" t="s">
        <v>4862</v>
      </c>
      <c r="CF5" s="211" t="s">
        <v>4863</v>
      </c>
      <c r="CG5" s="211" t="s">
        <v>4864</v>
      </c>
      <c r="CH5" s="211" t="s">
        <v>4865</v>
      </c>
      <c r="CI5" s="211" t="s">
        <v>4866</v>
      </c>
      <c r="CJ5" s="211" t="s">
        <v>4867</v>
      </c>
      <c r="CK5" s="211" t="s">
        <v>4868</v>
      </c>
      <c r="CL5" s="211" t="s">
        <v>4869</v>
      </c>
      <c r="CM5" s="211" t="s">
        <v>4870</v>
      </c>
      <c r="CN5" s="211" t="s">
        <v>4871</v>
      </c>
      <c r="CO5" s="211" t="s">
        <v>4872</v>
      </c>
      <c r="CP5" s="211" t="s">
        <v>4873</v>
      </c>
      <c r="CQ5" s="211" t="s">
        <v>4874</v>
      </c>
      <c r="CR5" s="211" t="s">
        <v>4875</v>
      </c>
      <c r="CS5" s="211" t="s">
        <v>4876</v>
      </c>
      <c r="CT5" s="211" t="s">
        <v>4877</v>
      </c>
      <c r="CU5" s="211" t="s">
        <v>4878</v>
      </c>
      <c r="CV5" s="211" t="s">
        <v>4879</v>
      </c>
      <c r="CW5" s="211" t="s">
        <v>4880</v>
      </c>
      <c r="CX5" s="211" t="s">
        <v>4881</v>
      </c>
      <c r="CY5" s="211" t="s">
        <v>4882</v>
      </c>
      <c r="CZ5" s="211" t="s">
        <v>4883</v>
      </c>
      <c r="DA5" s="211" t="s">
        <v>4884</v>
      </c>
      <c r="DB5" s="211" t="s">
        <v>4835</v>
      </c>
      <c r="DC5" s="211" t="s">
        <v>4836</v>
      </c>
      <c r="DD5" s="211" t="s">
        <v>4837</v>
      </c>
      <c r="DE5" s="211" t="s">
        <v>4838</v>
      </c>
      <c r="DF5" s="211" t="s">
        <v>4839</v>
      </c>
      <c r="DG5" s="211" t="s">
        <v>4840</v>
      </c>
      <c r="DH5" s="211" t="s">
        <v>4841</v>
      </c>
      <c r="DI5" s="211" t="s">
        <v>4842</v>
      </c>
      <c r="DJ5" s="211" t="s">
        <v>4843</v>
      </c>
      <c r="DK5" s="211" t="s">
        <v>4844</v>
      </c>
      <c r="DL5" s="211" t="s">
        <v>4845</v>
      </c>
      <c r="DM5" s="211" t="s">
        <v>4846</v>
      </c>
      <c r="DN5" s="211" t="s">
        <v>4847</v>
      </c>
      <c r="DO5" s="211" t="s">
        <v>4848</v>
      </c>
      <c r="DP5" s="211" t="s">
        <v>4849</v>
      </c>
      <c r="DQ5" s="211" t="s">
        <v>4850</v>
      </c>
      <c r="DR5" s="211" t="s">
        <v>4851</v>
      </c>
      <c r="DS5" s="211" t="s">
        <v>4852</v>
      </c>
      <c r="DT5" s="211" t="s">
        <v>4853</v>
      </c>
      <c r="DU5" s="211" t="s">
        <v>4854</v>
      </c>
      <c r="DV5" s="211" t="s">
        <v>4855</v>
      </c>
      <c r="DW5" s="211" t="s">
        <v>4856</v>
      </c>
      <c r="DX5" s="211" t="s">
        <v>4857</v>
      </c>
      <c r="DY5" s="211" t="s">
        <v>4858</v>
      </c>
      <c r="DZ5" s="211" t="s">
        <v>4859</v>
      </c>
      <c r="EA5" s="211" t="s">
        <v>3428</v>
      </c>
      <c r="EB5" s="211" t="s">
        <v>3429</v>
      </c>
      <c r="EC5" s="211" t="s">
        <v>3430</v>
      </c>
      <c r="ED5" s="211" t="s">
        <v>3431</v>
      </c>
      <c r="EE5" s="211" t="s">
        <v>3425</v>
      </c>
      <c r="EF5" s="211" t="s">
        <v>3432</v>
      </c>
      <c r="EG5" s="211" t="s">
        <v>3433</v>
      </c>
      <c r="EH5" s="211" t="s">
        <v>3434</v>
      </c>
      <c r="EI5" s="211" t="s">
        <v>3435</v>
      </c>
      <c r="EJ5" s="211" t="s">
        <v>3436</v>
      </c>
      <c r="EK5" s="211" t="s">
        <v>3437</v>
      </c>
      <c r="EL5" s="211" t="s">
        <v>3438</v>
      </c>
      <c r="EM5" s="211" t="s">
        <v>3439</v>
      </c>
      <c r="EN5" s="211" t="s">
        <v>3440</v>
      </c>
      <c r="EO5" s="211" t="s">
        <v>3441</v>
      </c>
      <c r="EP5" s="211" t="s">
        <v>3442</v>
      </c>
      <c r="EQ5" s="211" t="s">
        <v>3443</v>
      </c>
      <c r="ER5" s="211" t="s">
        <v>3444</v>
      </c>
      <c r="ES5" s="211" t="s">
        <v>3445</v>
      </c>
      <c r="ET5" s="211" t="s">
        <v>3446</v>
      </c>
      <c r="EU5" s="211" t="s">
        <v>3447</v>
      </c>
      <c r="EV5" s="211" t="s">
        <v>3448</v>
      </c>
      <c r="EW5" s="211" t="s">
        <v>3449</v>
      </c>
      <c r="EX5" s="211" t="s">
        <v>3450</v>
      </c>
      <c r="EY5" s="211" t="s">
        <v>3451</v>
      </c>
      <c r="EZ5" s="211" t="s">
        <v>3452</v>
      </c>
      <c r="FA5" s="211" t="s">
        <v>3453</v>
      </c>
      <c r="FB5" s="211" t="s">
        <v>3454</v>
      </c>
      <c r="FC5" s="211" t="s">
        <v>3455</v>
      </c>
      <c r="FD5" s="211" t="s">
        <v>3456</v>
      </c>
      <c r="FE5" s="211" t="s">
        <v>3457</v>
      </c>
      <c r="FF5" s="211" t="s">
        <v>3458</v>
      </c>
      <c r="FG5" s="211" t="s">
        <v>3459</v>
      </c>
      <c r="FH5" s="211" t="s">
        <v>3460</v>
      </c>
      <c r="FI5" s="211" t="s">
        <v>3461</v>
      </c>
      <c r="FJ5" s="211" t="s">
        <v>3462</v>
      </c>
      <c r="FK5" s="211" t="s">
        <v>3463</v>
      </c>
      <c r="FL5" s="211" t="s">
        <v>3464</v>
      </c>
      <c r="FM5" s="211" t="s">
        <v>3465</v>
      </c>
      <c r="FN5" s="211" t="s">
        <v>3466</v>
      </c>
      <c r="FO5" s="211" t="s">
        <v>3467</v>
      </c>
      <c r="FP5" s="211" t="s">
        <v>3468</v>
      </c>
      <c r="FQ5" s="211" t="s">
        <v>3469</v>
      </c>
      <c r="FR5" s="211" t="s">
        <v>3470</v>
      </c>
      <c r="FS5" s="211" t="s">
        <v>3471</v>
      </c>
      <c r="FT5" s="211" t="s">
        <v>3472</v>
      </c>
      <c r="FU5" s="211" t="s">
        <v>3473</v>
      </c>
      <c r="FV5" s="211" t="s">
        <v>3474</v>
      </c>
      <c r="FW5" s="211" t="s">
        <v>3423</v>
      </c>
      <c r="FX5" s="211" t="s">
        <v>3250</v>
      </c>
      <c r="FY5" s="211" t="s">
        <v>2382</v>
      </c>
      <c r="FZ5" s="211" t="s">
        <v>3251</v>
      </c>
      <c r="GA5" s="211" t="s">
        <v>2385</v>
      </c>
      <c r="GB5" s="211" t="s">
        <v>3252</v>
      </c>
      <c r="GC5" s="211" t="s">
        <v>3253</v>
      </c>
      <c r="GD5" s="211" t="s">
        <v>3254</v>
      </c>
      <c r="GE5" s="211" t="s">
        <v>3255</v>
      </c>
      <c r="GF5" s="211" t="s">
        <v>3256</v>
      </c>
      <c r="GG5" s="211" t="s">
        <v>3257</v>
      </c>
      <c r="GH5" s="211" t="s">
        <v>3258</v>
      </c>
      <c r="GI5" s="211" t="s">
        <v>3259</v>
      </c>
      <c r="GJ5" s="211" t="s">
        <v>3260</v>
      </c>
      <c r="GK5" s="211" t="s">
        <v>3261</v>
      </c>
      <c r="GL5" s="211" t="s">
        <v>3262</v>
      </c>
      <c r="GM5" s="211" t="s">
        <v>3263</v>
      </c>
      <c r="GN5" s="211" t="s">
        <v>3264</v>
      </c>
      <c r="GO5" s="211" t="s">
        <v>3265</v>
      </c>
      <c r="GP5" s="211" t="s">
        <v>3266</v>
      </c>
      <c r="GQ5" s="211" t="s">
        <v>3267</v>
      </c>
      <c r="GR5" s="211" t="s">
        <v>3268</v>
      </c>
      <c r="GS5" s="211" t="s">
        <v>3269</v>
      </c>
      <c r="GT5" s="211" t="s">
        <v>3270</v>
      </c>
      <c r="GU5" s="211" t="s">
        <v>3271</v>
      </c>
      <c r="GV5" s="211" t="s">
        <v>3272</v>
      </c>
      <c r="GW5" s="211" t="s">
        <v>3273</v>
      </c>
      <c r="GX5" s="211" t="s">
        <v>3274</v>
      </c>
      <c r="GY5" s="211" t="s">
        <v>3275</v>
      </c>
      <c r="GZ5" s="211" t="s">
        <v>3276</v>
      </c>
      <c r="HA5" s="211" t="s">
        <v>3277</v>
      </c>
      <c r="HB5" s="211" t="s">
        <v>3278</v>
      </c>
      <c r="HC5" s="211" t="s">
        <v>3279</v>
      </c>
      <c r="HD5" s="211" t="s">
        <v>3280</v>
      </c>
      <c r="HE5" s="211" t="s">
        <v>3281</v>
      </c>
      <c r="HF5" s="211" t="s">
        <v>3282</v>
      </c>
      <c r="HG5" s="211" t="s">
        <v>3283</v>
      </c>
      <c r="HH5" s="211" t="s">
        <v>3284</v>
      </c>
      <c r="HI5" s="211" t="s">
        <v>3285</v>
      </c>
      <c r="HJ5" s="211" t="s">
        <v>3286</v>
      </c>
      <c r="HK5" s="211" t="s">
        <v>3287</v>
      </c>
      <c r="HL5" s="211" t="s">
        <v>3288</v>
      </c>
      <c r="HM5" s="211" t="s">
        <v>3289</v>
      </c>
      <c r="HN5" s="211" t="s">
        <v>3290</v>
      </c>
      <c r="HO5" s="211" t="s">
        <v>3291</v>
      </c>
      <c r="HP5" s="211" t="s">
        <v>3292</v>
      </c>
      <c r="HQ5" s="211" t="s">
        <v>3293</v>
      </c>
      <c r="HR5" s="211" t="s">
        <v>3294</v>
      </c>
      <c r="HS5" s="211" t="s">
        <v>3295</v>
      </c>
      <c r="HT5" s="211" t="s">
        <v>3296</v>
      </c>
      <c r="HU5" s="211" t="s">
        <v>3297</v>
      </c>
      <c r="HV5" s="211" t="s">
        <v>3298</v>
      </c>
      <c r="HW5" s="211" t="s">
        <v>3299</v>
      </c>
      <c r="HX5" s="211" t="s">
        <v>3300</v>
      </c>
      <c r="HY5" s="211" t="s">
        <v>3301</v>
      </c>
      <c r="HZ5" s="211" t="s">
        <v>3302</v>
      </c>
      <c r="IA5" s="211" t="s">
        <v>3303</v>
      </c>
      <c r="IB5" s="211" t="s">
        <v>3304</v>
      </c>
      <c r="IC5" s="211" t="s">
        <v>3305</v>
      </c>
      <c r="ID5" s="211" t="s">
        <v>3306</v>
      </c>
      <c r="IE5" s="211" t="s">
        <v>3307</v>
      </c>
      <c r="IF5" s="211" t="s">
        <v>3308</v>
      </c>
      <c r="IG5" s="211" t="s">
        <v>3309</v>
      </c>
      <c r="IH5" s="211" t="s">
        <v>3310</v>
      </c>
      <c r="II5" s="211" t="s">
        <v>3311</v>
      </c>
      <c r="IJ5" s="211" t="s">
        <v>3312</v>
      </c>
      <c r="IK5" s="211" t="s">
        <v>3313</v>
      </c>
      <c r="IL5" s="211" t="s">
        <v>3314</v>
      </c>
      <c r="IM5" s="211" t="s">
        <v>3315</v>
      </c>
      <c r="IN5" s="211" t="s">
        <v>3316</v>
      </c>
      <c r="IO5" s="211" t="s">
        <v>3317</v>
      </c>
      <c r="IP5" s="211" t="s">
        <v>3318</v>
      </c>
      <c r="IQ5" s="211" t="s">
        <v>3319</v>
      </c>
      <c r="IR5" s="211" t="s">
        <v>3320</v>
      </c>
      <c r="IS5" s="211" t="s">
        <v>3321</v>
      </c>
      <c r="IT5" s="211" t="s">
        <v>3322</v>
      </c>
      <c r="IU5" s="211" t="s">
        <v>3323</v>
      </c>
      <c r="IV5" s="211" t="s">
        <v>3324</v>
      </c>
      <c r="IW5" s="211" t="s">
        <v>3325</v>
      </c>
      <c r="IX5" s="211" t="s">
        <v>3326</v>
      </c>
      <c r="IY5" s="211" t="s">
        <v>3327</v>
      </c>
      <c r="IZ5" s="211" t="s">
        <v>3328</v>
      </c>
      <c r="JA5" s="211" t="s">
        <v>3329</v>
      </c>
      <c r="JB5" s="211" t="s">
        <v>3330</v>
      </c>
      <c r="JC5" s="211" t="s">
        <v>3331</v>
      </c>
      <c r="JD5" s="211" t="s">
        <v>3332</v>
      </c>
      <c r="JE5" s="211" t="s">
        <v>3333</v>
      </c>
      <c r="JF5" s="211" t="s">
        <v>3334</v>
      </c>
      <c r="JG5" s="211" t="s">
        <v>3335</v>
      </c>
      <c r="JH5" s="211" t="s">
        <v>3336</v>
      </c>
      <c r="JI5" s="211" t="s">
        <v>3337</v>
      </c>
      <c r="JJ5" s="211" t="s">
        <v>3338</v>
      </c>
      <c r="JK5" s="211" t="s">
        <v>3339</v>
      </c>
      <c r="JL5" s="211" t="s">
        <v>3340</v>
      </c>
      <c r="JM5" s="211" t="s">
        <v>3341</v>
      </c>
      <c r="JN5" s="211" t="s">
        <v>3342</v>
      </c>
      <c r="JO5" s="211" t="s">
        <v>3343</v>
      </c>
      <c r="JP5" s="211" t="s">
        <v>3344</v>
      </c>
      <c r="JQ5" s="211" t="s">
        <v>3345</v>
      </c>
      <c r="JR5" s="211" t="s">
        <v>3346</v>
      </c>
      <c r="JS5" s="211" t="s">
        <v>3347</v>
      </c>
      <c r="JT5" s="211" t="s">
        <v>3348</v>
      </c>
      <c r="JU5" s="211" t="s">
        <v>3349</v>
      </c>
      <c r="JV5" s="211" t="s">
        <v>3350</v>
      </c>
      <c r="JW5" s="211" t="s">
        <v>3351</v>
      </c>
      <c r="JX5" s="211" t="s">
        <v>3352</v>
      </c>
      <c r="JY5" s="211" t="s">
        <v>3353</v>
      </c>
      <c r="JZ5" s="211" t="s">
        <v>3354</v>
      </c>
      <c r="KA5" s="211" t="s">
        <v>3355</v>
      </c>
      <c r="KB5" s="211" t="s">
        <v>1644</v>
      </c>
      <c r="KC5" s="211" t="s">
        <v>1983</v>
      </c>
      <c r="KD5" s="211" t="s">
        <v>1645</v>
      </c>
      <c r="KE5" s="211" t="s">
        <v>1984</v>
      </c>
      <c r="KF5" s="211" t="s">
        <v>1985</v>
      </c>
      <c r="KG5" s="211" t="s">
        <v>1986</v>
      </c>
      <c r="KH5" s="211" t="s">
        <v>1987</v>
      </c>
      <c r="KI5" s="211" t="s">
        <v>2357</v>
      </c>
      <c r="KJ5" s="211" t="s">
        <v>1646</v>
      </c>
      <c r="KK5" s="211" t="s">
        <v>1990</v>
      </c>
      <c r="KL5" s="211" t="s">
        <v>1647</v>
      </c>
      <c r="KM5" s="211" t="s">
        <v>1991</v>
      </c>
      <c r="KN5" s="211" t="s">
        <v>1648</v>
      </c>
      <c r="KO5" s="211" t="s">
        <v>1649</v>
      </c>
      <c r="KP5" s="211" t="s">
        <v>1650</v>
      </c>
      <c r="KQ5" s="211" t="s">
        <v>1651</v>
      </c>
      <c r="KR5" s="211" t="s">
        <v>1652</v>
      </c>
      <c r="KS5" s="211" t="s">
        <v>1653</v>
      </c>
      <c r="KT5" s="211" t="s">
        <v>1654</v>
      </c>
      <c r="KU5" s="211" t="s">
        <v>1655</v>
      </c>
      <c r="KV5" s="211" t="s">
        <v>1656</v>
      </c>
      <c r="KW5" s="211" t="s">
        <v>1657</v>
      </c>
      <c r="KX5" s="211" t="s">
        <v>1658</v>
      </c>
      <c r="KY5" s="211" t="s">
        <v>1659</v>
      </c>
      <c r="KZ5" s="211" t="s">
        <v>1660</v>
      </c>
      <c r="LA5" s="211" t="s">
        <v>1661</v>
      </c>
      <c r="LB5" s="211" t="s">
        <v>1662</v>
      </c>
      <c r="LC5" s="211" t="s">
        <v>1663</v>
      </c>
      <c r="LD5" s="211" t="s">
        <v>1664</v>
      </c>
      <c r="LE5" s="211" t="s">
        <v>1665</v>
      </c>
      <c r="LF5" s="211" t="s">
        <v>1666</v>
      </c>
      <c r="LG5" s="211" t="s">
        <v>1667</v>
      </c>
      <c r="LH5" s="211" t="s">
        <v>1668</v>
      </c>
      <c r="LI5" s="211" t="s">
        <v>1992</v>
      </c>
      <c r="LJ5" s="211" t="s">
        <v>1993</v>
      </c>
      <c r="LK5" s="211" t="s">
        <v>1994</v>
      </c>
      <c r="LL5" s="211" t="s">
        <v>1995</v>
      </c>
      <c r="LM5" s="211" t="s">
        <v>1996</v>
      </c>
      <c r="LN5" s="211" t="s">
        <v>1997</v>
      </c>
      <c r="LO5" s="211" t="s">
        <v>1998</v>
      </c>
      <c r="LP5" s="211" t="s">
        <v>1999</v>
      </c>
      <c r="LQ5" s="211" t="s">
        <v>2000</v>
      </c>
      <c r="LR5" s="211" t="s">
        <v>2001</v>
      </c>
      <c r="LS5" s="211" t="s">
        <v>2002</v>
      </c>
      <c r="LT5" s="211" t="s">
        <v>2003</v>
      </c>
      <c r="LU5" s="211" t="s">
        <v>2004</v>
      </c>
      <c r="LV5" s="211" t="s">
        <v>2005</v>
      </c>
      <c r="LW5" s="211" t="s">
        <v>2006</v>
      </c>
      <c r="LX5" s="211" t="s">
        <v>2007</v>
      </c>
      <c r="LY5" s="211" t="s">
        <v>2008</v>
      </c>
      <c r="LZ5" s="211" t="s">
        <v>2009</v>
      </c>
      <c r="MA5" s="211" t="s">
        <v>2010</v>
      </c>
      <c r="MB5" s="211" t="s">
        <v>2011</v>
      </c>
      <c r="MC5" s="211" t="s">
        <v>2012</v>
      </c>
      <c r="MD5" s="211" t="s">
        <v>2013</v>
      </c>
      <c r="ME5" s="211" t="s">
        <v>2014</v>
      </c>
      <c r="MF5" s="211" t="s">
        <v>2015</v>
      </c>
      <c r="MG5" s="211" t="s">
        <v>2016</v>
      </c>
      <c r="MH5" s="211" t="s">
        <v>2017</v>
      </c>
      <c r="MI5" s="211" t="s">
        <v>2018</v>
      </c>
      <c r="MJ5" s="211" t="s">
        <v>2019</v>
      </c>
      <c r="MK5" s="211" t="s">
        <v>2020</v>
      </c>
      <c r="ML5" s="211" t="s">
        <v>2021</v>
      </c>
      <c r="MM5" s="211" t="s">
        <v>2022</v>
      </c>
      <c r="MN5" s="211" t="s">
        <v>2023</v>
      </c>
      <c r="MO5" s="211" t="s">
        <v>2024</v>
      </c>
      <c r="MP5" s="211" t="s">
        <v>2025</v>
      </c>
      <c r="MQ5" s="211" t="s">
        <v>2026</v>
      </c>
      <c r="MR5" s="211" t="s">
        <v>2027</v>
      </c>
      <c r="MS5" s="211" t="s">
        <v>2028</v>
      </c>
      <c r="MT5" s="211" t="s">
        <v>2029</v>
      </c>
      <c r="MU5" s="211" t="s">
        <v>2030</v>
      </c>
      <c r="MV5" s="211" t="s">
        <v>2031</v>
      </c>
      <c r="MW5" s="211" t="s">
        <v>2032</v>
      </c>
      <c r="MX5" s="211" t="s">
        <v>2033</v>
      </c>
      <c r="MY5" s="211" t="s">
        <v>2034</v>
      </c>
      <c r="MZ5" s="211" t="s">
        <v>2035</v>
      </c>
      <c r="NA5" s="211" t="s">
        <v>2036</v>
      </c>
      <c r="NB5" s="211" t="s">
        <v>2037</v>
      </c>
      <c r="NC5" s="211" t="s">
        <v>2038</v>
      </c>
      <c r="ND5" s="211" t="s">
        <v>2039</v>
      </c>
      <c r="NE5" s="211" t="s">
        <v>2040</v>
      </c>
      <c r="NF5" s="211" t="s">
        <v>2041</v>
      </c>
      <c r="NG5" s="211" t="s">
        <v>2042</v>
      </c>
      <c r="NH5" s="211" t="s">
        <v>2043</v>
      </c>
      <c r="NI5" s="211" t="s">
        <v>2044</v>
      </c>
      <c r="NJ5" s="211" t="s">
        <v>2045</v>
      </c>
      <c r="NK5" s="211" t="s">
        <v>2046</v>
      </c>
      <c r="NL5" s="211" t="s">
        <v>2047</v>
      </c>
      <c r="NM5" s="211" t="s">
        <v>2048</v>
      </c>
      <c r="NN5" s="211" t="s">
        <v>2049</v>
      </c>
      <c r="NO5" s="211" t="s">
        <v>2050</v>
      </c>
      <c r="NP5" s="211" t="s">
        <v>2051</v>
      </c>
      <c r="NQ5" s="211" t="s">
        <v>2052</v>
      </c>
      <c r="NR5" s="211" t="s">
        <v>2053</v>
      </c>
      <c r="NS5" s="211" t="s">
        <v>2054</v>
      </c>
      <c r="NT5" s="211" t="s">
        <v>2055</v>
      </c>
      <c r="NU5" s="211" t="s">
        <v>2056</v>
      </c>
      <c r="NV5" s="211" t="s">
        <v>2057</v>
      </c>
      <c r="NW5" s="211" t="s">
        <v>2358</v>
      </c>
      <c r="NX5" s="211" t="s">
        <v>2359</v>
      </c>
      <c r="NY5" s="211" t="s">
        <v>3240</v>
      </c>
      <c r="NZ5" s="211" t="s">
        <v>3241</v>
      </c>
      <c r="OA5" s="211" t="s">
        <v>3242</v>
      </c>
      <c r="OB5" s="211" t="s">
        <v>3243</v>
      </c>
      <c r="OC5" s="211" t="s">
        <v>3244</v>
      </c>
      <c r="OD5" s="211" t="s">
        <v>3245</v>
      </c>
      <c r="OE5" s="211" t="s">
        <v>3246</v>
      </c>
      <c r="OF5" s="211" t="s">
        <v>3247</v>
      </c>
      <c r="OG5" s="211" t="s">
        <v>3248</v>
      </c>
      <c r="OH5" s="211" t="s">
        <v>3249</v>
      </c>
      <c r="OI5" s="211" t="s">
        <v>1677</v>
      </c>
      <c r="OJ5" s="211" t="s">
        <v>1678</v>
      </c>
      <c r="OK5" s="211" t="s">
        <v>1679</v>
      </c>
      <c r="OL5" s="211" t="s">
        <v>1680</v>
      </c>
      <c r="OM5" s="211" t="s">
        <v>1681</v>
      </c>
      <c r="ON5" s="211" t="s">
        <v>1682</v>
      </c>
      <c r="OO5" s="211" t="s">
        <v>1683</v>
      </c>
      <c r="OP5" s="211" t="s">
        <v>1684</v>
      </c>
      <c r="OQ5" s="211" t="s">
        <v>1685</v>
      </c>
      <c r="OR5" s="211" t="s">
        <v>1914</v>
      </c>
      <c r="OS5" s="211" t="s">
        <v>2059</v>
      </c>
      <c r="OT5" s="211" t="s">
        <v>2060</v>
      </c>
      <c r="OU5" s="211" t="s">
        <v>2061</v>
      </c>
      <c r="OV5" s="211" t="s">
        <v>2062</v>
      </c>
      <c r="OW5" s="211" t="s">
        <v>2063</v>
      </c>
      <c r="OX5" s="211" t="s">
        <v>2064</v>
      </c>
      <c r="OY5" s="211" t="s">
        <v>2065</v>
      </c>
      <c r="OZ5" s="211" t="s">
        <v>2066</v>
      </c>
      <c r="PA5" s="211" t="s">
        <v>2067</v>
      </c>
      <c r="PB5" s="211" t="s">
        <v>2068</v>
      </c>
      <c r="PC5" s="211" t="s">
        <v>2069</v>
      </c>
      <c r="PD5" s="211" t="s">
        <v>2366</v>
      </c>
      <c r="PE5" s="211" t="s">
        <v>2367</v>
      </c>
      <c r="PF5" s="211" t="s">
        <v>6721</v>
      </c>
      <c r="PG5" s="297" t="s">
        <v>3484</v>
      </c>
      <c r="PH5" s="297" t="s">
        <v>3485</v>
      </c>
      <c r="PI5" s="297" t="s">
        <v>3486</v>
      </c>
      <c r="PJ5" s="297" t="s">
        <v>3487</v>
      </c>
      <c r="PK5" s="297" t="s">
        <v>3488</v>
      </c>
      <c r="PL5" s="297" t="s">
        <v>3489</v>
      </c>
      <c r="PM5" s="297" t="s">
        <v>3490</v>
      </c>
      <c r="PN5" s="297" t="s">
        <v>3491</v>
      </c>
      <c r="PO5" s="297" t="s">
        <v>3492</v>
      </c>
      <c r="PP5" s="297" t="s">
        <v>3493</v>
      </c>
      <c r="PQ5" s="297" t="s">
        <v>3494</v>
      </c>
      <c r="PR5" s="297" t="s">
        <v>3495</v>
      </c>
      <c r="PS5" s="297" t="s">
        <v>3496</v>
      </c>
      <c r="PT5" s="297" t="s">
        <v>3497</v>
      </c>
      <c r="PU5" s="297" t="s">
        <v>3498</v>
      </c>
      <c r="PV5" s="297" t="s">
        <v>3499</v>
      </c>
      <c r="PW5" s="297" t="s">
        <v>3500</v>
      </c>
      <c r="PX5" s="297" t="s">
        <v>3501</v>
      </c>
      <c r="PY5" s="297" t="s">
        <v>3502</v>
      </c>
      <c r="PZ5" s="297" t="s">
        <v>3503</v>
      </c>
      <c r="QA5" s="297" t="s">
        <v>3504</v>
      </c>
      <c r="QB5" s="211" t="s">
        <v>3505</v>
      </c>
      <c r="QC5" s="211" t="s">
        <v>3506</v>
      </c>
      <c r="QD5" s="211" t="s">
        <v>3507</v>
      </c>
      <c r="QE5" s="211" t="s">
        <v>3508</v>
      </c>
      <c r="QF5" s="211" t="s">
        <v>3509</v>
      </c>
      <c r="QG5" s="211" t="s">
        <v>3510</v>
      </c>
      <c r="QH5" s="211" t="s">
        <v>3511</v>
      </c>
      <c r="QI5" s="211" t="s">
        <v>3512</v>
      </c>
      <c r="QJ5" s="211" t="s">
        <v>3513</v>
      </c>
      <c r="QK5" s="211" t="s">
        <v>3514</v>
      </c>
      <c r="QL5" s="211" t="s">
        <v>3515</v>
      </c>
      <c r="QM5" s="211" t="s">
        <v>3516</v>
      </c>
      <c r="QN5" s="211" t="s">
        <v>3517</v>
      </c>
      <c r="QO5" s="211" t="s">
        <v>3518</v>
      </c>
      <c r="QP5" s="211" t="s">
        <v>3519</v>
      </c>
      <c r="QQ5" s="211" t="s">
        <v>3520</v>
      </c>
      <c r="QR5" s="211" t="s">
        <v>3521</v>
      </c>
      <c r="QS5" s="211" t="s">
        <v>3522</v>
      </c>
      <c r="QT5" s="211" t="s">
        <v>3523</v>
      </c>
      <c r="QU5" s="211" t="s">
        <v>3524</v>
      </c>
      <c r="QV5" s="211" t="s">
        <v>3525</v>
      </c>
      <c r="QW5" s="211" t="s">
        <v>3526</v>
      </c>
      <c r="QX5" s="211" t="s">
        <v>3527</v>
      </c>
      <c r="QY5" s="211" t="s">
        <v>3528</v>
      </c>
      <c r="QZ5" s="211" t="s">
        <v>3529</v>
      </c>
      <c r="RA5" s="211" t="s">
        <v>3530</v>
      </c>
      <c r="RB5" s="211" t="s">
        <v>3531</v>
      </c>
      <c r="RC5" s="211" t="s">
        <v>3532</v>
      </c>
      <c r="RD5" s="211" t="s">
        <v>3533</v>
      </c>
      <c r="RE5" s="211" t="s">
        <v>3534</v>
      </c>
      <c r="RF5" s="211" t="s">
        <v>3535</v>
      </c>
      <c r="RG5" s="211" t="s">
        <v>3536</v>
      </c>
      <c r="RH5" s="211" t="s">
        <v>3537</v>
      </c>
      <c r="RI5" s="211" t="s">
        <v>3538</v>
      </c>
      <c r="RJ5" s="211" t="s">
        <v>3539</v>
      </c>
      <c r="RK5" s="211" t="s">
        <v>3540</v>
      </c>
      <c r="RL5" s="211" t="s">
        <v>3541</v>
      </c>
      <c r="RM5" s="211" t="s">
        <v>3542</v>
      </c>
      <c r="RN5" s="211" t="s">
        <v>3543</v>
      </c>
      <c r="RO5" s="211" t="s">
        <v>3544</v>
      </c>
      <c r="RP5" s="211" t="s">
        <v>3545</v>
      </c>
      <c r="RQ5" s="211" t="s">
        <v>3546</v>
      </c>
      <c r="RR5" s="211" t="s">
        <v>3547</v>
      </c>
      <c r="RS5" s="211" t="s">
        <v>3548</v>
      </c>
      <c r="RT5" s="211" t="s">
        <v>3549</v>
      </c>
      <c r="RU5" s="211" t="s">
        <v>3550</v>
      </c>
      <c r="RV5" s="211" t="s">
        <v>3551</v>
      </c>
      <c r="RW5" s="211" t="s">
        <v>3552</v>
      </c>
      <c r="RX5" s="211" t="s">
        <v>3553</v>
      </c>
      <c r="RY5" s="211" t="s">
        <v>3554</v>
      </c>
      <c r="RZ5" s="211" t="s">
        <v>3555</v>
      </c>
      <c r="SA5" s="211" t="s">
        <v>3556</v>
      </c>
      <c r="SB5" s="211" t="s">
        <v>3557</v>
      </c>
      <c r="SC5" s="211" t="s">
        <v>3558</v>
      </c>
      <c r="SD5" s="211" t="s">
        <v>3559</v>
      </c>
      <c r="SE5" s="211" t="s">
        <v>3560</v>
      </c>
      <c r="SF5" s="211" t="s">
        <v>3561</v>
      </c>
      <c r="SG5" s="211" t="s">
        <v>3562</v>
      </c>
      <c r="SH5" s="211" t="s">
        <v>3563</v>
      </c>
      <c r="SI5" s="211" t="s">
        <v>3564</v>
      </c>
      <c r="SJ5" s="211" t="s">
        <v>3565</v>
      </c>
      <c r="SK5" s="211" t="s">
        <v>3566</v>
      </c>
      <c r="SL5" s="211" t="s">
        <v>3567</v>
      </c>
      <c r="SM5" s="211" t="s">
        <v>3568</v>
      </c>
      <c r="SN5" s="211" t="s">
        <v>3569</v>
      </c>
      <c r="SO5" s="211" t="s">
        <v>3570</v>
      </c>
      <c r="SP5" s="211" t="s">
        <v>3571</v>
      </c>
      <c r="SQ5" s="211" t="s">
        <v>3572</v>
      </c>
      <c r="SR5" s="211" t="s">
        <v>3573</v>
      </c>
      <c r="SS5" s="211" t="s">
        <v>3574</v>
      </c>
      <c r="ST5" s="211" t="s">
        <v>3575</v>
      </c>
      <c r="SU5" s="211" t="s">
        <v>3576</v>
      </c>
      <c r="SV5" s="211" t="s">
        <v>3577</v>
      </c>
      <c r="SW5" s="211" t="s">
        <v>3578</v>
      </c>
      <c r="SX5" s="211" t="s">
        <v>3579</v>
      </c>
      <c r="SY5" s="211" t="s">
        <v>3580</v>
      </c>
      <c r="SZ5" s="211" t="s">
        <v>3581</v>
      </c>
      <c r="TA5" s="211" t="s">
        <v>3582</v>
      </c>
      <c r="TB5" s="211" t="s">
        <v>3583</v>
      </c>
      <c r="TC5" s="211" t="s">
        <v>3584</v>
      </c>
      <c r="TD5" s="211" t="s">
        <v>3585</v>
      </c>
      <c r="TE5" s="211" t="s">
        <v>3586</v>
      </c>
      <c r="TF5" s="211" t="s">
        <v>3587</v>
      </c>
      <c r="TG5" s="211" t="s">
        <v>3588</v>
      </c>
      <c r="TH5" s="211" t="s">
        <v>3589</v>
      </c>
      <c r="TI5" s="211" t="s">
        <v>3590</v>
      </c>
      <c r="TJ5" s="211" t="s">
        <v>3591</v>
      </c>
      <c r="TK5" s="211" t="s">
        <v>3592</v>
      </c>
      <c r="TL5" s="211" t="s">
        <v>3593</v>
      </c>
      <c r="TM5" s="211" t="s">
        <v>3594</v>
      </c>
      <c r="TN5" s="211" t="s">
        <v>3595</v>
      </c>
      <c r="TO5" s="211" t="s">
        <v>3596</v>
      </c>
      <c r="TP5" s="211" t="s">
        <v>3597</v>
      </c>
      <c r="TQ5" s="211" t="s">
        <v>3598</v>
      </c>
      <c r="TR5" s="211" t="s">
        <v>3599</v>
      </c>
      <c r="TS5" s="211" t="s">
        <v>3600</v>
      </c>
      <c r="TT5" s="211" t="s">
        <v>3601</v>
      </c>
      <c r="TU5" s="211" t="s">
        <v>3602</v>
      </c>
      <c r="TV5" s="211" t="s">
        <v>3603</v>
      </c>
      <c r="TW5" s="211" t="s">
        <v>3604</v>
      </c>
      <c r="TX5" s="211" t="s">
        <v>3605</v>
      </c>
      <c r="TY5" s="211" t="s">
        <v>3606</v>
      </c>
      <c r="TZ5" s="211" t="s">
        <v>3607</v>
      </c>
      <c r="UA5" s="211" t="s">
        <v>3608</v>
      </c>
      <c r="UB5" s="211" t="s">
        <v>3609</v>
      </c>
      <c r="UC5" s="211" t="s">
        <v>3610</v>
      </c>
      <c r="UD5" s="211" t="s">
        <v>3611</v>
      </c>
      <c r="UE5" s="211" t="s">
        <v>3612</v>
      </c>
      <c r="UF5" s="211" t="s">
        <v>3613</v>
      </c>
      <c r="UG5" s="211" t="s">
        <v>3614</v>
      </c>
      <c r="UH5" s="211" t="s">
        <v>3615</v>
      </c>
      <c r="UI5" s="211" t="s">
        <v>3616</v>
      </c>
      <c r="UJ5" s="211" t="s">
        <v>3617</v>
      </c>
      <c r="UK5" s="211" t="s">
        <v>3618</v>
      </c>
      <c r="UL5" s="211" t="s">
        <v>3619</v>
      </c>
      <c r="UM5" s="211" t="s">
        <v>3620</v>
      </c>
      <c r="UN5" s="211" t="s">
        <v>3621</v>
      </c>
      <c r="UO5" s="211" t="s">
        <v>3622</v>
      </c>
      <c r="UP5" s="211" t="s">
        <v>3623</v>
      </c>
      <c r="UQ5" s="211" t="s">
        <v>3624</v>
      </c>
      <c r="UR5" s="211" t="s">
        <v>3625</v>
      </c>
      <c r="US5" s="211" t="s">
        <v>3626</v>
      </c>
      <c r="UT5" s="211" t="s">
        <v>3627</v>
      </c>
      <c r="UU5" s="211" t="s">
        <v>3628</v>
      </c>
      <c r="UV5" s="211" t="s">
        <v>3629</v>
      </c>
      <c r="UW5" s="211" t="s">
        <v>3630</v>
      </c>
      <c r="UX5" s="211" t="s">
        <v>3631</v>
      </c>
      <c r="UY5" s="211" t="s">
        <v>3632</v>
      </c>
      <c r="UZ5" s="211" t="s">
        <v>3633</v>
      </c>
      <c r="VA5" s="211" t="s">
        <v>3634</v>
      </c>
      <c r="VB5" s="211" t="s">
        <v>3635</v>
      </c>
      <c r="VC5" s="211" t="s">
        <v>3636</v>
      </c>
      <c r="VD5" s="211" t="s">
        <v>3637</v>
      </c>
      <c r="VE5" s="211" t="s">
        <v>3638</v>
      </c>
      <c r="VF5" s="211" t="s">
        <v>3639</v>
      </c>
      <c r="VG5" s="211" t="s">
        <v>3640</v>
      </c>
      <c r="VH5" s="211" t="s">
        <v>3641</v>
      </c>
      <c r="VI5" s="211" t="s">
        <v>3642</v>
      </c>
      <c r="VJ5" s="211" t="s">
        <v>3643</v>
      </c>
      <c r="VK5" s="211" t="s">
        <v>3644</v>
      </c>
      <c r="VL5" s="211" t="s">
        <v>3645</v>
      </c>
      <c r="VM5" s="211" t="s">
        <v>4831</v>
      </c>
      <c r="VN5" s="211" t="s">
        <v>3646</v>
      </c>
      <c r="VO5" s="211" t="s">
        <v>3647</v>
      </c>
    </row>
    <row r="6" spans="1:587" s="286" customFormat="1">
      <c r="A6"/>
      <c r="B6" s="211">
        <f>'General 0'!C8</f>
        <v>0</v>
      </c>
      <c r="C6" s="211">
        <f>'General 0'!C9</f>
        <v>0</v>
      </c>
      <c r="D6" s="211">
        <f>'General 0'!C10</f>
        <v>0</v>
      </c>
      <c r="E6" s="211">
        <f>'General 0'!C11</f>
        <v>0</v>
      </c>
      <c r="F6" s="211">
        <f>'General 0'!C12</f>
        <v>0</v>
      </c>
      <c r="G6" s="211">
        <f>'General 0'!C13</f>
        <v>0</v>
      </c>
      <c r="H6" s="211">
        <f>'General 0'!C4</f>
        <v>0</v>
      </c>
      <c r="I6" s="211">
        <f>'General 0'!C5</f>
        <v>0</v>
      </c>
      <c r="J6" s="211">
        <f>'General 0'!C6</f>
        <v>0</v>
      </c>
      <c r="K6" s="313">
        <f>'General 0'!C7</f>
        <v>0</v>
      </c>
      <c r="L6" s="211">
        <f>'General 0'!C16</f>
        <v>0</v>
      </c>
      <c r="M6" s="211">
        <f>'General 0'!C17</f>
        <v>0</v>
      </c>
      <c r="N6" s="211">
        <f>'General 0'!C18</f>
        <v>0</v>
      </c>
      <c r="O6" s="211">
        <f>'General 0'!C31</f>
        <v>0</v>
      </c>
      <c r="P6" s="211">
        <f>'General 0'!C36</f>
        <v>0</v>
      </c>
      <c r="Q6" s="211">
        <f>'General 0'!C44</f>
        <v>0</v>
      </c>
      <c r="R6" s="211">
        <f>'General 0'!C50</f>
        <v>0</v>
      </c>
      <c r="S6" s="211">
        <f>'General 0'!C56</f>
        <v>0</v>
      </c>
      <c r="T6" s="320">
        <f>'General 0'!D88</f>
        <v>0</v>
      </c>
      <c r="U6" s="320">
        <f>'General 0'!D89</f>
        <v>0</v>
      </c>
      <c r="V6" s="320">
        <f>'General 0'!D90</f>
        <v>0</v>
      </c>
      <c r="W6" s="320">
        <f>'General 0'!D91</f>
        <v>0</v>
      </c>
      <c r="X6" s="320">
        <f>'General 0'!D92</f>
        <v>0</v>
      </c>
      <c r="Y6" s="320">
        <f>'General 0'!D96</f>
        <v>0</v>
      </c>
      <c r="Z6" s="320">
        <f>'General 0'!D97</f>
        <v>0</v>
      </c>
      <c r="AA6" s="320">
        <f>'General 0'!D98</f>
        <v>0</v>
      </c>
      <c r="AB6" s="320">
        <f>'General 0'!D99</f>
        <v>0</v>
      </c>
      <c r="AC6" s="320">
        <f>'General 0'!D103</f>
        <v>0</v>
      </c>
      <c r="AD6" s="320">
        <f>'General 0'!D104</f>
        <v>0</v>
      </c>
      <c r="AE6" s="320">
        <f>'General 0'!D105</f>
        <v>0</v>
      </c>
      <c r="AF6" s="320">
        <f>'General 0'!D106</f>
        <v>0</v>
      </c>
      <c r="AG6" s="320">
        <f>'General 0'!D107</f>
        <v>0</v>
      </c>
      <c r="AH6" s="320">
        <f>'General 0'!D108</f>
        <v>0</v>
      </c>
      <c r="AI6" s="320">
        <f>'General 0'!D112</f>
        <v>0</v>
      </c>
      <c r="AJ6" s="320">
        <f>'General 0'!D113</f>
        <v>0</v>
      </c>
      <c r="AK6" s="320">
        <f>'General 0'!D114</f>
        <v>0</v>
      </c>
      <c r="AL6" s="320">
        <f>'General 0'!D115</f>
        <v>0</v>
      </c>
      <c r="AM6" s="320">
        <f>'General 0'!D116</f>
        <v>0</v>
      </c>
      <c r="AN6" s="320">
        <f>'General 0'!D117</f>
        <v>0</v>
      </c>
      <c r="AO6" s="211">
        <f>'General 0'!C144</f>
        <v>0</v>
      </c>
      <c r="AP6" s="211">
        <f>'General 0'!C145</f>
        <v>0</v>
      </c>
      <c r="AQ6" s="211">
        <f>'General 0'!C147</f>
        <v>0</v>
      </c>
      <c r="AR6" s="211">
        <f>'General 0'!C149</f>
        <v>0</v>
      </c>
      <c r="AS6" s="211">
        <f>'General 0'!C150</f>
        <v>0</v>
      </c>
      <c r="AT6" s="211">
        <f>'General 0'!C152</f>
        <v>0</v>
      </c>
      <c r="AU6" s="211">
        <f>'General 0'!C156</f>
        <v>0</v>
      </c>
      <c r="AV6" s="211">
        <f>'General 0'!C157</f>
        <v>0</v>
      </c>
      <c r="AW6" s="211">
        <f>'General 0'!C158</f>
        <v>0</v>
      </c>
      <c r="AX6" s="211">
        <f>'General 0'!C159</f>
        <v>0</v>
      </c>
      <c r="AY6" s="211">
        <f>'General 0'!C160</f>
        <v>0</v>
      </c>
      <c r="AZ6" s="211">
        <f>'General 0'!C161</f>
        <v>0</v>
      </c>
      <c r="BA6" s="211">
        <f>'General 0'!C162</f>
        <v>0</v>
      </c>
      <c r="BB6" s="322">
        <f>Summary!C11</f>
        <v>0</v>
      </c>
      <c r="BC6" s="320">
        <f>Summary!C12</f>
        <v>0</v>
      </c>
      <c r="BD6" s="320">
        <f>Summary!C13</f>
        <v>0</v>
      </c>
      <c r="BE6" s="320">
        <f>'General 0'!C66</f>
        <v>0</v>
      </c>
      <c r="BF6" s="320">
        <f>'General 0'!C67</f>
        <v>0</v>
      </c>
      <c r="BG6" s="320">
        <f>'General 0'!C68</f>
        <v>0</v>
      </c>
      <c r="BH6" s="320">
        <f>'General 0'!C69</f>
        <v>0</v>
      </c>
      <c r="BI6" s="320">
        <f>'General 0'!C70</f>
        <v>0</v>
      </c>
      <c r="BJ6" s="320">
        <f>Summary!C14</f>
        <v>0</v>
      </c>
      <c r="BK6" s="320">
        <f>Summary!C15</f>
        <v>0</v>
      </c>
      <c r="BL6" s="320">
        <f>Summary!C16</f>
        <v>0</v>
      </c>
      <c r="BM6" s="320">
        <f>Summary!C17</f>
        <v>0</v>
      </c>
      <c r="BN6" s="320">
        <f>Summary!C18</f>
        <v>0</v>
      </c>
      <c r="BO6" s="320">
        <f>Summary!C19</f>
        <v>0</v>
      </c>
      <c r="BP6" s="320">
        <f>Summary!C20</f>
        <v>0</v>
      </c>
      <c r="BQ6" s="320">
        <f>Summary!C21</f>
        <v>0</v>
      </c>
      <c r="BR6" s="320">
        <f>Summary!C22</f>
        <v>0</v>
      </c>
      <c r="BS6" s="320">
        <f>Summary!C23</f>
        <v>0</v>
      </c>
      <c r="BT6" s="320">
        <f>Summary!C24</f>
        <v>0</v>
      </c>
      <c r="BU6" s="320">
        <f>Summary!C25</f>
        <v>0</v>
      </c>
      <c r="BV6" s="320">
        <f>Summary!C26</f>
        <v>0</v>
      </c>
      <c r="BW6" s="320">
        <f>Summary!C29</f>
        <v>0</v>
      </c>
      <c r="BX6" s="320">
        <f>Summary!C30</f>
        <v>0</v>
      </c>
      <c r="BY6" s="320">
        <f>Summary!C31</f>
        <v>0</v>
      </c>
      <c r="BZ6" s="320">
        <f>Summary!C32</f>
        <v>0</v>
      </c>
      <c r="CA6" s="320">
        <f>Summary!C33</f>
        <v>0</v>
      </c>
      <c r="CB6" s="320">
        <f>Summary!C34</f>
        <v>0</v>
      </c>
      <c r="CC6" s="324" t="str">
        <f>Summary!D186</f>
        <v>???</v>
      </c>
      <c r="CD6" s="324" t="str">
        <f>Summary!D187</f>
        <v>???</v>
      </c>
      <c r="CE6" s="324" t="str">
        <f>Summary!D188</f>
        <v>???</v>
      </c>
      <c r="CF6" s="324" t="str">
        <f>Summary!D189</f>
        <v>???</v>
      </c>
      <c r="CG6" s="324" t="str">
        <f>Summary!D190</f>
        <v>???</v>
      </c>
      <c r="CH6" s="324" t="str">
        <f>Summary!D191</f>
        <v>???</v>
      </c>
      <c r="CI6" s="324" t="str">
        <f>Summary!D192</f>
        <v>???</v>
      </c>
      <c r="CJ6" s="324" t="str">
        <f>Summary!D193</f>
        <v>???</v>
      </c>
      <c r="CK6" s="324" t="str">
        <f>Summary!D194</f>
        <v>???</v>
      </c>
      <c r="CL6" s="324" t="str">
        <f>Summary!D195</f>
        <v>???</v>
      </c>
      <c r="CM6" s="324" t="str">
        <f>Summary!D196</f>
        <v>???</v>
      </c>
      <c r="CN6" s="324" t="str">
        <f>Summary!D197</f>
        <v>???</v>
      </c>
      <c r="CO6" s="324" t="str">
        <f>Summary!D198</f>
        <v>???</v>
      </c>
      <c r="CP6" s="324" t="str">
        <f>Summary!D199</f>
        <v>???</v>
      </c>
      <c r="CQ6" s="324" t="str">
        <f>Summary!D200</f>
        <v>???</v>
      </c>
      <c r="CR6" s="324" t="str">
        <f>Summary!D201</f>
        <v>???</v>
      </c>
      <c r="CS6" s="324" t="str">
        <f>Summary!D202</f>
        <v>???</v>
      </c>
      <c r="CT6" s="324" t="str">
        <f>Summary!D203</f>
        <v>???</v>
      </c>
      <c r="CU6" s="324" t="str">
        <f>Summary!D204</f>
        <v>???</v>
      </c>
      <c r="CV6" s="324" t="str">
        <f>Summary!D205</f>
        <v>???</v>
      </c>
      <c r="CW6" s="324" t="str">
        <f>Summary!D206</f>
        <v>???</v>
      </c>
      <c r="CX6" s="324" t="str">
        <f>Summary!D207</f>
        <v>???</v>
      </c>
      <c r="CY6" s="324" t="str">
        <f>Summary!D208</f>
        <v>???</v>
      </c>
      <c r="CZ6" s="324" t="str">
        <f>Summary!D209</f>
        <v>???</v>
      </c>
      <c r="DA6" s="324" t="str">
        <f>Summary!D210</f>
        <v>???</v>
      </c>
      <c r="DB6" s="324" t="str">
        <f>Summary!E186</f>
        <v>???</v>
      </c>
      <c r="DC6" s="324" t="str">
        <f>Summary!E187</f>
        <v>???</v>
      </c>
      <c r="DD6" s="324" t="str">
        <f>Summary!E188</f>
        <v>???</v>
      </c>
      <c r="DE6" s="324" t="str">
        <f>Summary!E189</f>
        <v>???</v>
      </c>
      <c r="DF6" s="324" t="str">
        <f>Summary!E190</f>
        <v>???</v>
      </c>
      <c r="DG6" s="324" t="str">
        <f>Summary!E191</f>
        <v>???</v>
      </c>
      <c r="DH6" s="324" t="str">
        <f>Summary!E192</f>
        <v>???</v>
      </c>
      <c r="DI6" s="324" t="str">
        <f>Summary!E193</f>
        <v>???</v>
      </c>
      <c r="DJ6" s="324" t="str">
        <f>Summary!E194</f>
        <v>???</v>
      </c>
      <c r="DK6" s="324" t="str">
        <f>Summary!E195</f>
        <v>???</v>
      </c>
      <c r="DL6" s="324" t="str">
        <f>Summary!E196</f>
        <v>???</v>
      </c>
      <c r="DM6" s="324" t="str">
        <f>Summary!E197</f>
        <v>???</v>
      </c>
      <c r="DN6" s="324" t="str">
        <f>Summary!E198</f>
        <v>???</v>
      </c>
      <c r="DO6" s="324" t="str">
        <f>Summary!E199</f>
        <v>???</v>
      </c>
      <c r="DP6" s="324" t="str">
        <f>Summary!E200</f>
        <v>???</v>
      </c>
      <c r="DQ6" s="324" t="str">
        <f>Summary!E201</f>
        <v>???</v>
      </c>
      <c r="DR6" s="324" t="str">
        <f>Summary!E202</f>
        <v>???</v>
      </c>
      <c r="DS6" s="324" t="str">
        <f>Summary!E203</f>
        <v>???</v>
      </c>
      <c r="DT6" s="324" t="str">
        <f>Summary!E204</f>
        <v>???</v>
      </c>
      <c r="DU6" s="324" t="str">
        <f>Summary!E205</f>
        <v>???</v>
      </c>
      <c r="DV6" s="324" t="str">
        <f>Summary!E206</f>
        <v>???</v>
      </c>
      <c r="DW6" s="324" t="str">
        <f>Summary!E207</f>
        <v>???</v>
      </c>
      <c r="DX6" s="324" t="str">
        <f>Summary!E208</f>
        <v>???</v>
      </c>
      <c r="DY6" s="324" t="str">
        <f>Summary!E209</f>
        <v>???</v>
      </c>
      <c r="DZ6" s="324" t="str">
        <f>Summary!E210</f>
        <v>???</v>
      </c>
      <c r="EA6" s="211">
        <f>'General 0'!D121</f>
        <v>0</v>
      </c>
      <c r="EB6" s="211">
        <f>'General 0'!D122</f>
        <v>0</v>
      </c>
      <c r="EC6" s="211">
        <f>'General 0'!D123</f>
        <v>0</v>
      </c>
      <c r="ED6" s="211">
        <f>'General 0'!D124</f>
        <v>0</v>
      </c>
      <c r="EE6" s="211">
        <f>'General 0'!D125</f>
        <v>0</v>
      </c>
      <c r="EF6" s="211">
        <f>'General 0'!D126</f>
        <v>0</v>
      </c>
      <c r="EG6" s="211">
        <f>'General 0'!D127</f>
        <v>0</v>
      </c>
      <c r="EH6" s="211">
        <f>'General 0'!D128</f>
        <v>0</v>
      </c>
      <c r="EI6" s="211">
        <f>'General 0'!D129</f>
        <v>0</v>
      </c>
      <c r="EJ6" s="211">
        <f>'General 0'!D130</f>
        <v>0</v>
      </c>
      <c r="EK6" s="211">
        <f>'General 0'!D131</f>
        <v>0</v>
      </c>
      <c r="EL6" s="310" t="e">
        <f>Summary!C37</f>
        <v>#DIV/0!</v>
      </c>
      <c r="EM6" s="297" t="e">
        <f>Summary!C38</f>
        <v>#DIV/0!</v>
      </c>
      <c r="EN6" s="297">
        <f>Summary!C214</f>
        <v>0</v>
      </c>
      <c r="EO6" s="297">
        <f>Summary!C215</f>
        <v>0</v>
      </c>
      <c r="EP6" s="297">
        <f>Summary!C216</f>
        <v>0</v>
      </c>
      <c r="EQ6" s="297" t="str">
        <f>Summary!C217</f>
        <v>na</v>
      </c>
      <c r="ER6" s="297">
        <f>Summary!C218</f>
        <v>0</v>
      </c>
      <c r="ES6" s="297">
        <f>Summary!C219</f>
        <v>0</v>
      </c>
      <c r="ET6" s="297">
        <f>Summary!C220</f>
        <v>0</v>
      </c>
      <c r="EU6" s="297">
        <f>Summary!C221</f>
        <v>0</v>
      </c>
      <c r="EV6" s="297">
        <f>Summary!C222</f>
        <v>0</v>
      </c>
      <c r="EW6" s="297">
        <f>Summary!C223</f>
        <v>0</v>
      </c>
      <c r="EX6" s="297">
        <f>Summary!C224</f>
        <v>0</v>
      </c>
      <c r="EY6" s="297">
        <f>Summary!C225</f>
        <v>0</v>
      </c>
      <c r="EZ6" s="297">
        <f>Summary!C226</f>
        <v>0</v>
      </c>
      <c r="FA6" s="297">
        <f>Summary!C227</f>
        <v>0</v>
      </c>
      <c r="FB6" s="297">
        <f>Summary!C228</f>
        <v>0</v>
      </c>
      <c r="FC6" s="297">
        <f>Summary!C229</f>
        <v>0</v>
      </c>
      <c r="FD6" s="297" t="str">
        <f>Summary!C230</f>
        <v>na</v>
      </c>
      <c r="FE6" s="297">
        <f>Summary!C231</f>
        <v>0</v>
      </c>
      <c r="FF6" s="297">
        <f>Summary!C232</f>
        <v>0</v>
      </c>
      <c r="FG6" s="297">
        <f>Summary!C233</f>
        <v>0</v>
      </c>
      <c r="FH6" s="297">
        <f>Summary!C234</f>
        <v>0</v>
      </c>
      <c r="FI6" s="297">
        <f>Summary!C236</f>
        <v>0</v>
      </c>
      <c r="FJ6" s="297">
        <f>Summary!C237</f>
        <v>0</v>
      </c>
      <c r="FK6" s="297">
        <f>Summary!C238</f>
        <v>0</v>
      </c>
      <c r="FL6" s="297">
        <f>Summary!C239</f>
        <v>0</v>
      </c>
      <c r="FM6" s="297">
        <f>Summary!C240</f>
        <v>0</v>
      </c>
      <c r="FN6" s="297">
        <f>Summary!C241</f>
        <v>0</v>
      </c>
      <c r="FO6" s="297">
        <f>Summary!C243</f>
        <v>0</v>
      </c>
      <c r="FP6" s="297">
        <f>Summary!C244</f>
        <v>0</v>
      </c>
      <c r="FQ6" s="297">
        <f>Summary!C245</f>
        <v>0</v>
      </c>
      <c r="FR6" s="297">
        <f>Summary!C246</f>
        <v>0</v>
      </c>
      <c r="FS6" s="297">
        <f>Summary!C247</f>
        <v>0</v>
      </c>
      <c r="FT6" s="211">
        <f>Flags!E116</f>
        <v>0</v>
      </c>
      <c r="FU6" s="211">
        <f>Flags!E130</f>
        <v>0</v>
      </c>
      <c r="FV6" s="211">
        <f>Flags!E159</f>
        <v>0</v>
      </c>
      <c r="FW6" s="112" t="str">
        <f>Summary!C47</f>
        <v>???</v>
      </c>
      <c r="FX6" s="112" t="str">
        <f>Summary!C48</f>
        <v>???</v>
      </c>
      <c r="FY6" s="112" t="str">
        <f>Summary!C49</f>
        <v>???</v>
      </c>
      <c r="FZ6" s="112" t="str">
        <f>Summary!C50</f>
        <v>???</v>
      </c>
      <c r="GA6" s="112" t="str">
        <f>Summary!C51</f>
        <v>???</v>
      </c>
      <c r="GB6" s="112" t="str">
        <f>Summary!C52</f>
        <v>???</v>
      </c>
      <c r="GC6" s="112" t="str">
        <f>Summary!C53</f>
        <v>???</v>
      </c>
      <c r="GD6" s="112" t="str">
        <f>Summary!C54</f>
        <v>???</v>
      </c>
      <c r="GE6" s="112" t="str">
        <f>Summary!C55</f>
        <v>???</v>
      </c>
      <c r="GF6" s="112" t="str">
        <f>Summary!C56</f>
        <v>???</v>
      </c>
      <c r="GG6" s="112" t="str">
        <f>Summary!C57</f>
        <v>???</v>
      </c>
      <c r="GH6" s="112" t="str">
        <f>Summary!C58</f>
        <v>???</v>
      </c>
      <c r="GI6" s="112" t="str">
        <f>Summary!C59</f>
        <v>???</v>
      </c>
      <c r="GJ6" s="112" t="str">
        <f>Summary!C60</f>
        <v>???</v>
      </c>
      <c r="GK6" s="112" t="str">
        <f>Summary!C61</f>
        <v>???</v>
      </c>
      <c r="GL6" s="112" t="str">
        <f>Summary!C64</f>
        <v>???</v>
      </c>
      <c r="GM6" s="112" t="str">
        <f>Summary!C65</f>
        <v>???</v>
      </c>
      <c r="GN6" s="112" t="str">
        <f>Summary!C66</f>
        <v>???</v>
      </c>
      <c r="GO6" s="112" t="str">
        <f>Summary!C67</f>
        <v>???</v>
      </c>
      <c r="GP6" s="112" t="str">
        <f>Summary!C68</f>
        <v>???</v>
      </c>
      <c r="GQ6" s="112" t="str">
        <f>Summary!C69</f>
        <v>???</v>
      </c>
      <c r="GR6" s="112" t="e">
        <f>Summary!C70</f>
        <v>#DIV/0!</v>
      </c>
      <c r="GS6" s="112" t="e">
        <f>Summary!C71</f>
        <v>#DIV/0!</v>
      </c>
      <c r="GT6" s="112" t="str">
        <f>Summary!C72</f>
        <v>???</v>
      </c>
      <c r="GU6" s="112" t="str">
        <f>Summary!C73</f>
        <v>???</v>
      </c>
      <c r="GV6" s="112" t="str">
        <f>Summary!C74</f>
        <v>???</v>
      </c>
      <c r="GW6" s="112" t="str">
        <f>Summary!C77</f>
        <v>???</v>
      </c>
      <c r="GX6" s="112" t="str">
        <f>Summary!C78</f>
        <v>???</v>
      </c>
      <c r="GY6" s="112" t="str">
        <f>Summary!C79</f>
        <v>???</v>
      </c>
      <c r="GZ6" s="112" t="str">
        <f>Summary!C80</f>
        <v>???</v>
      </c>
      <c r="HA6" s="112" t="str">
        <f>Summary!C81</f>
        <v>???</v>
      </c>
      <c r="HB6" s="112" t="str">
        <f>Summary!C82</f>
        <v>???</v>
      </c>
      <c r="HC6" s="112" t="str">
        <f>Summary!C85</f>
        <v>???</v>
      </c>
      <c r="HD6" s="112" t="str">
        <f>Summary!C86</f>
        <v>???</v>
      </c>
      <c r="HE6" s="112" t="str">
        <f>Summary!C87</f>
        <v>???</v>
      </c>
      <c r="HF6" s="112" t="str">
        <f>Summary!C88</f>
        <v>???</v>
      </c>
      <c r="HG6" s="112" t="str">
        <f>Summary!C89</f>
        <v>???</v>
      </c>
      <c r="HH6" s="112" t="str">
        <f>Summary!C90</f>
        <v>???</v>
      </c>
      <c r="HI6" s="112" t="str">
        <f>Summary!C91</f>
        <v>???</v>
      </c>
      <c r="HJ6" s="112" t="str">
        <f>Summary!C94</f>
        <v>???</v>
      </c>
      <c r="HK6" s="112" t="str">
        <f>Summary!C95</f>
        <v>???</v>
      </c>
      <c r="HL6" s="112" t="str">
        <f>Summary!C96</f>
        <v>???</v>
      </c>
      <c r="HM6" s="112" t="str">
        <f>Summary!C97</f>
        <v>???</v>
      </c>
      <c r="HN6" s="112" t="str">
        <f>Summary!C100</f>
        <v>???</v>
      </c>
      <c r="HO6" s="112" t="str">
        <f>Summary!C101</f>
        <v>???</v>
      </c>
      <c r="HP6" s="112" t="str">
        <f>Summary!C102</f>
        <v>???</v>
      </c>
      <c r="HQ6" s="112" t="str">
        <f>Summary!C103</f>
        <v>???</v>
      </c>
      <c r="HR6" s="112" t="str">
        <f>Summary!C104</f>
        <v>???</v>
      </c>
      <c r="HS6" s="112" t="str">
        <f>Summary!C105</f>
        <v>???</v>
      </c>
      <c r="HT6" s="112" t="str">
        <f>Summary!C108</f>
        <v>???</v>
      </c>
      <c r="HU6" s="112" t="str">
        <f>Summary!C109</f>
        <v>???</v>
      </c>
      <c r="HV6" s="112" t="str">
        <f>Summary!C110</f>
        <v>???</v>
      </c>
      <c r="HW6" s="112" t="str">
        <f>Summary!C111</f>
        <v>???</v>
      </c>
      <c r="HX6" s="112" t="str">
        <f>Summary!C112</f>
        <v>???</v>
      </c>
      <c r="HY6" s="112" t="str">
        <f>Summary!C113</f>
        <v>???</v>
      </c>
      <c r="HZ6" s="112" t="str">
        <f>Summary!C114</f>
        <v>???</v>
      </c>
      <c r="IA6" s="112" t="str">
        <f>Summary!C115</f>
        <v>???</v>
      </c>
      <c r="IB6" s="112" t="str">
        <f>Summary!C118</f>
        <v>???</v>
      </c>
      <c r="IC6" s="112" t="str">
        <f>Summary!C119</f>
        <v>???</v>
      </c>
      <c r="ID6" s="112" t="str">
        <f>Summary!C120</f>
        <v>???</v>
      </c>
      <c r="IE6" s="112" t="str">
        <f>Summary!C121</f>
        <v>???</v>
      </c>
      <c r="IF6" s="112" t="str">
        <f>Summary!C122</f>
        <v>???</v>
      </c>
      <c r="IG6" s="112" t="str">
        <f>Summary!C125</f>
        <v>???</v>
      </c>
      <c r="IH6" s="112" t="str">
        <f>Summary!C126</f>
        <v>???</v>
      </c>
      <c r="II6" s="112" t="str">
        <f>Summary!C127</f>
        <v>???</v>
      </c>
      <c r="IJ6" s="112" t="str">
        <f>Summary!C128</f>
        <v>???</v>
      </c>
      <c r="IK6" s="112" t="str">
        <f>Summary!C129</f>
        <v>???</v>
      </c>
      <c r="IL6" s="112" t="str">
        <f>Summary!C132</f>
        <v>???</v>
      </c>
      <c r="IM6" s="112" t="str">
        <f>Summary!C133</f>
        <v>???</v>
      </c>
      <c r="IN6" s="112" t="str">
        <f>Summary!C134</f>
        <v>???</v>
      </c>
      <c r="IO6" s="112" t="str">
        <f>Summary!C135</f>
        <v>???</v>
      </c>
      <c r="IP6" s="112" t="str">
        <f>Summary!C138</f>
        <v>???</v>
      </c>
      <c r="IQ6" s="112" t="str">
        <f>Summary!C139</f>
        <v>???</v>
      </c>
      <c r="IR6" s="112" t="str">
        <f>Summary!C140</f>
        <v>???</v>
      </c>
      <c r="IS6" s="112" t="str">
        <f>Summary!C141</f>
        <v>???</v>
      </c>
      <c r="IT6" s="112" t="str">
        <f>Summary!C142</f>
        <v>???</v>
      </c>
      <c r="IU6" s="112" t="str">
        <f>Summary!C143</f>
        <v>???</v>
      </c>
      <c r="IV6" s="112" t="str">
        <f>Summary!C144</f>
        <v>???</v>
      </c>
      <c r="IW6" s="112" t="str">
        <f>Summary!C145</f>
        <v>???</v>
      </c>
      <c r="IX6" s="112" t="str">
        <f>Summary!C146</f>
        <v>???</v>
      </c>
      <c r="IY6" s="112" t="str">
        <f>Summary!C147</f>
        <v>???</v>
      </c>
      <c r="IZ6" s="112" t="str">
        <f>Summary!C148</f>
        <v>???</v>
      </c>
      <c r="JA6" s="112" t="str">
        <f>Summary!C149</f>
        <v>???</v>
      </c>
      <c r="JB6" s="112" t="str">
        <f>Summary!C150</f>
        <v>???</v>
      </c>
      <c r="JC6" s="112" t="str">
        <f>Summary!C151</f>
        <v>???</v>
      </c>
      <c r="JD6" s="112" t="str">
        <f>Summary!C152</f>
        <v>???</v>
      </c>
      <c r="JE6" s="112" t="str">
        <f>Summary!C155</f>
        <v>???</v>
      </c>
      <c r="JF6" s="112" t="str">
        <f>Summary!C156</f>
        <v>???</v>
      </c>
      <c r="JG6" s="112" t="str">
        <f>Summary!C157</f>
        <v>???</v>
      </c>
      <c r="JH6" s="112" t="str">
        <f>Summary!C158</f>
        <v>???</v>
      </c>
      <c r="JI6" s="112" t="str">
        <f>Summary!C159</f>
        <v>???</v>
      </c>
      <c r="JJ6" s="112" t="str">
        <f>Summary!C160</f>
        <v>???</v>
      </c>
      <c r="JK6" s="112" t="str">
        <f>Summary!C163</f>
        <v>???</v>
      </c>
      <c r="JL6" s="112" t="str">
        <f>Summary!C164</f>
        <v>???</v>
      </c>
      <c r="JM6" s="112" t="str">
        <f>Summary!C165</f>
        <v>???</v>
      </c>
      <c r="JN6" s="112" t="str">
        <f>Summary!C166</f>
        <v>???</v>
      </c>
      <c r="JO6" s="112" t="str">
        <f>Summary!C167</f>
        <v>???</v>
      </c>
      <c r="JP6" s="112" t="str">
        <f>Summary!C168</f>
        <v>???</v>
      </c>
      <c r="JQ6" s="112" t="str">
        <f>Summary!C169</f>
        <v>???</v>
      </c>
      <c r="JR6" s="112" t="str">
        <f>Summary!C170</f>
        <v>???</v>
      </c>
      <c r="JS6" s="112" t="str">
        <f>Summary!C171</f>
        <v>???</v>
      </c>
      <c r="JT6" s="112" t="str">
        <f>Summary!C172</f>
        <v>???</v>
      </c>
      <c r="JU6" s="112" t="str">
        <f>Summary!C175</f>
        <v>???</v>
      </c>
      <c r="JV6" s="112" t="str">
        <f>Summary!C176</f>
        <v>???</v>
      </c>
      <c r="JW6" s="112" t="str">
        <f>Summary!C177</f>
        <v>???</v>
      </c>
      <c r="JX6" s="112" t="str">
        <f>Summary!C180</f>
        <v>???</v>
      </c>
      <c r="JY6" s="112" t="str">
        <f>Summary!C181</f>
        <v>???</v>
      </c>
      <c r="JZ6" s="112" t="str">
        <f>Summary!C182</f>
        <v>???</v>
      </c>
      <c r="KA6" s="112" t="str">
        <f>Summary!C183</f>
        <v>???</v>
      </c>
      <c r="KB6" s="211">
        <f>Flags!C5</f>
        <v>0</v>
      </c>
      <c r="KC6" s="211">
        <f>Flags!C7</f>
        <v>0</v>
      </c>
      <c r="KD6" s="211">
        <f>Flags!C8</f>
        <v>0</v>
      </c>
      <c r="KE6" s="211">
        <f>Flags!C9</f>
        <v>0</v>
      </c>
      <c r="KF6" s="211">
        <f>Flags!C10</f>
        <v>0</v>
      </c>
      <c r="KG6" s="211">
        <f>Flags!C11</f>
        <v>0</v>
      </c>
      <c r="KH6" s="211">
        <f>Flags!C12</f>
        <v>0</v>
      </c>
      <c r="KI6" s="211">
        <f>Flags!C13</f>
        <v>0</v>
      </c>
      <c r="KJ6" s="211">
        <f>Flags!C14</f>
        <v>0</v>
      </c>
      <c r="KK6" s="211">
        <f>Flags!C15</f>
        <v>0</v>
      </c>
      <c r="KL6" s="211">
        <f>Flags!C16</f>
        <v>0</v>
      </c>
      <c r="KM6" s="211">
        <f>Flags!C17</f>
        <v>0</v>
      </c>
      <c r="KN6" s="211">
        <f>Flags!C18</f>
        <v>0</v>
      </c>
      <c r="KO6" s="211">
        <f>Flags!C19</f>
        <v>0</v>
      </c>
      <c r="KP6" s="211">
        <f>Flags!C20</f>
        <v>0</v>
      </c>
      <c r="KQ6" s="211">
        <f>Flags!C21</f>
        <v>0</v>
      </c>
      <c r="KR6" s="211">
        <f>Flags!C22</f>
        <v>0</v>
      </c>
      <c r="KS6" s="211">
        <f>Flags!C23</f>
        <v>0</v>
      </c>
      <c r="KT6" s="211">
        <f>Flags!C24</f>
        <v>0</v>
      </c>
      <c r="KU6" s="211">
        <f>Flags!C25</f>
        <v>0</v>
      </c>
      <c r="KV6" s="211">
        <f>Flags!C26</f>
        <v>0</v>
      </c>
      <c r="KW6" s="211">
        <f>Flags!C27</f>
        <v>0</v>
      </c>
      <c r="KX6" s="211">
        <f>Flags!C28</f>
        <v>0</v>
      </c>
      <c r="KY6" s="211">
        <f>Flags!C29</f>
        <v>0</v>
      </c>
      <c r="KZ6" s="211">
        <f>Flags!C30</f>
        <v>0</v>
      </c>
      <c r="LA6" s="211">
        <f>Flags!C31</f>
        <v>0</v>
      </c>
      <c r="LB6" s="211">
        <f>Flags!C35</f>
        <v>0</v>
      </c>
      <c r="LC6" s="211">
        <f>Flags!C32</f>
        <v>0</v>
      </c>
      <c r="LD6" s="211">
        <f>Flags!C33</f>
        <v>0</v>
      </c>
      <c r="LE6" s="211">
        <f>Flags!C34</f>
        <v>0</v>
      </c>
      <c r="LF6" s="211">
        <f>Flags!C36</f>
        <v>0</v>
      </c>
      <c r="LG6" s="211">
        <f>Flags!C37</f>
        <v>0</v>
      </c>
      <c r="LH6" s="211">
        <f>Flags!C38</f>
        <v>0</v>
      </c>
      <c r="LI6" s="211">
        <f>Flags!C39</f>
        <v>0</v>
      </c>
      <c r="LJ6" s="211">
        <f>Flags!C40</f>
        <v>0</v>
      </c>
      <c r="LK6" s="211">
        <f>Flags!C41</f>
        <v>0</v>
      </c>
      <c r="LL6" s="211">
        <f>Flags!C42</f>
        <v>0</v>
      </c>
      <c r="LM6" s="211">
        <f>Flags!C44</f>
        <v>0</v>
      </c>
      <c r="LN6" s="211">
        <f>Flags!C45</f>
        <v>0</v>
      </c>
      <c r="LO6" s="211">
        <f>Flags!C46</f>
        <v>0</v>
      </c>
      <c r="LP6" s="211">
        <f>Flags!C47</f>
        <v>0</v>
      </c>
      <c r="LQ6" s="211">
        <f>Flags!C48</f>
        <v>0</v>
      </c>
      <c r="LR6" s="211">
        <f>Flags!C49</f>
        <v>0</v>
      </c>
      <c r="LS6" s="211">
        <f>Flags!C50</f>
        <v>0</v>
      </c>
      <c r="LT6" s="211">
        <f>Flags!C51</f>
        <v>0</v>
      </c>
      <c r="LU6" s="211">
        <f>Flags!C52</f>
        <v>0</v>
      </c>
      <c r="LV6" s="211">
        <f>Flags!C54</f>
        <v>0</v>
      </c>
      <c r="LW6" s="211">
        <f>Flags!C56</f>
        <v>0</v>
      </c>
      <c r="LX6" s="211">
        <f>Flags!C57</f>
        <v>0</v>
      </c>
      <c r="LY6" s="211">
        <f>Flags!C58</f>
        <v>0</v>
      </c>
      <c r="LZ6" s="211">
        <f>Flags!C59</f>
        <v>0</v>
      </c>
      <c r="MA6" s="211">
        <f>Flags!C60</f>
        <v>0</v>
      </c>
      <c r="MB6" s="211">
        <f>Flags!C61</f>
        <v>0</v>
      </c>
      <c r="MC6" s="211">
        <f>Flags!C62</f>
        <v>0</v>
      </c>
      <c r="MD6" s="211">
        <f>Flags!C63</f>
        <v>0</v>
      </c>
      <c r="ME6" s="211">
        <f>Flags!C64</f>
        <v>0</v>
      </c>
      <c r="MF6" s="211">
        <f>Flags!C66</f>
        <v>0</v>
      </c>
      <c r="MG6" s="211">
        <f>Flags!C67</f>
        <v>0</v>
      </c>
      <c r="MH6" s="211">
        <f>Flags!C68</f>
        <v>0</v>
      </c>
      <c r="MI6" s="211">
        <f>Flags!C69</f>
        <v>0</v>
      </c>
      <c r="MJ6" s="211">
        <f>Flags!C70</f>
        <v>0</v>
      </c>
      <c r="MK6" s="211">
        <f>Flags!C71</f>
        <v>0</v>
      </c>
      <c r="ML6" s="211">
        <f>Flags!C72</f>
        <v>0</v>
      </c>
      <c r="MM6" s="211">
        <f>Flags!C73</f>
        <v>0</v>
      </c>
      <c r="MN6" s="211">
        <f>Flags!C74</f>
        <v>0</v>
      </c>
      <c r="MO6" s="211">
        <f>Flags!C75</f>
        <v>0</v>
      </c>
      <c r="MP6" s="211">
        <f>Flags!C76</f>
        <v>0</v>
      </c>
      <c r="MQ6" s="211">
        <f>Flags!C77</f>
        <v>0</v>
      </c>
      <c r="MR6" s="211">
        <f>Flags!C79</f>
        <v>0</v>
      </c>
      <c r="MS6" s="211">
        <f>Flags!C80</f>
        <v>0</v>
      </c>
      <c r="MT6" s="211">
        <f>Flags!C81</f>
        <v>0</v>
      </c>
      <c r="MU6" s="211">
        <f>Flags!C82</f>
        <v>0</v>
      </c>
      <c r="MV6" s="211">
        <f>Flags!C83</f>
        <v>0</v>
      </c>
      <c r="MW6" s="211">
        <f>Flags!C84</f>
        <v>0</v>
      </c>
      <c r="MX6" s="211">
        <f>Flags!C85</f>
        <v>0</v>
      </c>
      <c r="MY6" s="211">
        <f>Flags!C86</f>
        <v>0</v>
      </c>
      <c r="MZ6" s="211">
        <f>Flags!C87</f>
        <v>0</v>
      </c>
      <c r="NA6" s="211">
        <f>Flags!C89</f>
        <v>0</v>
      </c>
      <c r="NB6" s="211">
        <f>Flags!C90</f>
        <v>0</v>
      </c>
      <c r="NC6" s="211">
        <f>Flags!C91</f>
        <v>0</v>
      </c>
      <c r="ND6" s="211">
        <f>Flags!C92</f>
        <v>0</v>
      </c>
      <c r="NE6" s="211">
        <f>Flags!C93</f>
        <v>0</v>
      </c>
      <c r="NF6" s="211">
        <f>Flags!C94</f>
        <v>0</v>
      </c>
      <c r="NG6" s="211">
        <f>Flags!C95</f>
        <v>0</v>
      </c>
      <c r="NH6" s="211">
        <f>Flags!C96</f>
        <v>0</v>
      </c>
      <c r="NI6" s="211">
        <f>Flags!C97</f>
        <v>0</v>
      </c>
      <c r="NJ6" s="211">
        <f>Flags!C98</f>
        <v>0</v>
      </c>
      <c r="NK6" s="211">
        <f>Flags!C100</f>
        <v>0</v>
      </c>
      <c r="NL6" s="211">
        <f>Flags!C101</f>
        <v>0</v>
      </c>
      <c r="NM6" s="211">
        <f>Flags!C102</f>
        <v>0</v>
      </c>
      <c r="NN6" s="211">
        <f>Flags!C103</f>
        <v>0</v>
      </c>
      <c r="NO6" s="211">
        <f>Flags!C104</f>
        <v>0</v>
      </c>
      <c r="NP6" s="211">
        <f>Flags!C105</f>
        <v>0</v>
      </c>
      <c r="NQ6" s="211">
        <f>Flags!C106</f>
        <v>0</v>
      </c>
      <c r="NR6" s="211">
        <f>Flags!C108</f>
        <v>0</v>
      </c>
      <c r="NS6" s="211">
        <f>Flags!C109</f>
        <v>0</v>
      </c>
      <c r="NT6" s="211">
        <f>Flags!C110</f>
        <v>0</v>
      </c>
      <c r="NU6" s="211">
        <f>Flags!C111</f>
        <v>0</v>
      </c>
      <c r="NV6" s="211">
        <f>Flags!C112</f>
        <v>0</v>
      </c>
      <c r="NW6" s="211">
        <f>Flags!C113</f>
        <v>0</v>
      </c>
      <c r="NX6" s="211">
        <f>Flags!C114</f>
        <v>0</v>
      </c>
      <c r="NY6" s="211">
        <f>Flags!C119</f>
        <v>0</v>
      </c>
      <c r="NZ6" s="211">
        <f>Flags!C120</f>
        <v>0</v>
      </c>
      <c r="OA6" s="211">
        <f>Flags!C121</f>
        <v>0</v>
      </c>
      <c r="OB6" s="211">
        <f>Flags!C122</f>
        <v>0</v>
      </c>
      <c r="OC6" s="211">
        <f>Flags!C123</f>
        <v>0</v>
      </c>
      <c r="OD6" s="211">
        <f>Flags!C124</f>
        <v>0</v>
      </c>
      <c r="OE6" s="211">
        <f>Flags!C125</f>
        <v>0</v>
      </c>
      <c r="OF6" s="211">
        <f>Flags!C126</f>
        <v>0</v>
      </c>
      <c r="OG6" s="211">
        <f>Flags!C127</f>
        <v>0</v>
      </c>
      <c r="OH6" s="211">
        <f>Flags!C128</f>
        <v>0</v>
      </c>
      <c r="OI6" s="211">
        <f>Flags!C134</f>
        <v>0</v>
      </c>
      <c r="OJ6" s="211">
        <f>Flags!C135</f>
        <v>0</v>
      </c>
      <c r="OK6" s="211">
        <f>Flags!C136</f>
        <v>0</v>
      </c>
      <c r="OL6" s="211">
        <f>Flags!C137</f>
        <v>0</v>
      </c>
      <c r="OM6" s="211">
        <f>Flags!C138</f>
        <v>0</v>
      </c>
      <c r="ON6" s="211">
        <f>Flags!C139</f>
        <v>0</v>
      </c>
      <c r="OO6" s="211">
        <f>Flags!C140</f>
        <v>0</v>
      </c>
      <c r="OP6" s="211">
        <f>Flags!C141</f>
        <v>0</v>
      </c>
      <c r="OQ6" s="211">
        <f>Flags!C142</f>
        <v>0</v>
      </c>
      <c r="OR6" s="211">
        <f>Flags!C143</f>
        <v>0</v>
      </c>
      <c r="OS6" s="211">
        <f>Flags!C144</f>
        <v>0</v>
      </c>
      <c r="OT6" s="211">
        <f>Flags!C145</f>
        <v>0</v>
      </c>
      <c r="OU6" s="211">
        <f>Flags!C146</f>
        <v>0</v>
      </c>
      <c r="OV6" s="211">
        <f>Flags!C147</f>
        <v>0</v>
      </c>
      <c r="OW6" s="211">
        <f>Flags!C148</f>
        <v>0</v>
      </c>
      <c r="OX6" s="211">
        <f>Flags!C149</f>
        <v>0</v>
      </c>
      <c r="OY6" s="211">
        <f>Flags!C150</f>
        <v>0</v>
      </c>
      <c r="OZ6" s="211">
        <f>Flags!C151</f>
        <v>0</v>
      </c>
      <c r="PA6" s="211">
        <f>Flags!C152</f>
        <v>0</v>
      </c>
      <c r="PB6" s="211">
        <f>Flags!C153</f>
        <v>0</v>
      </c>
      <c r="PC6" s="211">
        <f>Flags!C154</f>
        <v>0</v>
      </c>
      <c r="PD6" s="211">
        <f>Flags!C155</f>
        <v>0</v>
      </c>
      <c r="PE6" s="211">
        <f>Flags!C156</f>
        <v>0</v>
      </c>
      <c r="PF6" s="211">
        <f>Flags!C157</f>
        <v>0</v>
      </c>
      <c r="PG6" s="211">
        <f>'Facility 1'!C44</f>
        <v>0</v>
      </c>
      <c r="PH6" s="211">
        <f>'Facility 1'!C121</f>
        <v>0</v>
      </c>
      <c r="PI6" s="211">
        <f>'Facility 1'!C122</f>
        <v>0</v>
      </c>
      <c r="PJ6" s="211">
        <f>'Facility 1'!C126</f>
        <v>0</v>
      </c>
      <c r="PK6" s="211">
        <f>'Facility 1'!C127</f>
        <v>0</v>
      </c>
      <c r="PL6" s="211">
        <f>'Facility 1'!C128</f>
        <v>0</v>
      </c>
      <c r="PM6" s="211">
        <f>'Facility 1'!C129</f>
        <v>0</v>
      </c>
      <c r="PN6" s="211">
        <f>'Facility 1'!C133</f>
        <v>0</v>
      </c>
      <c r="PO6" s="211">
        <f>'Facility 1'!C134</f>
        <v>0</v>
      </c>
      <c r="PP6" s="211">
        <f>'Facility 1'!C135</f>
        <v>0</v>
      </c>
      <c r="PQ6" s="211">
        <f>'Facility 1'!C136</f>
        <v>0</v>
      </c>
      <c r="PR6" s="211">
        <f>'Facility 1'!C140</f>
        <v>0</v>
      </c>
      <c r="PS6" s="211">
        <f>'Facility 1'!C141</f>
        <v>0</v>
      </c>
      <c r="PT6" s="211">
        <f>'Facility 1'!C142</f>
        <v>0</v>
      </c>
      <c r="PU6" s="211">
        <f>'Facility 1'!C143</f>
        <v>0</v>
      </c>
      <c r="PV6" s="211">
        <f>'Facility 1'!C147</f>
        <v>0</v>
      </c>
      <c r="PW6" s="211">
        <f>'Facility 1'!C148</f>
        <v>0</v>
      </c>
      <c r="PX6" s="211">
        <f>'Facility 1'!C149</f>
        <v>0</v>
      </c>
      <c r="PY6" s="211">
        <f>'Facility 1'!C150</f>
        <v>0</v>
      </c>
      <c r="PZ6" s="211">
        <f>'Facility 1'!C154</f>
        <v>0</v>
      </c>
      <c r="QA6" s="211">
        <f>'Facility 1'!C155</f>
        <v>0</v>
      </c>
      <c r="QB6" s="211">
        <f>'LIS 2'!C9</f>
        <v>0</v>
      </c>
      <c r="QC6" s="211">
        <f>'LIS 2'!C10</f>
        <v>0</v>
      </c>
      <c r="QD6" s="211">
        <f>'LIS 2'!C11</f>
        <v>0</v>
      </c>
      <c r="QE6" s="211">
        <f>'LIS 2'!C12</f>
        <v>0</v>
      </c>
      <c r="QF6" s="211">
        <f>'LIS 2'!C13</f>
        <v>0</v>
      </c>
      <c r="QG6" s="211">
        <f>'LIS 2'!C14</f>
        <v>0</v>
      </c>
      <c r="QH6" s="211">
        <f>'LIS 2'!C15</f>
        <v>0</v>
      </c>
      <c r="QI6" s="211">
        <f>'LIS 2'!C16</f>
        <v>0</v>
      </c>
      <c r="QJ6" s="211">
        <f>'LIS 2'!C20</f>
        <v>0</v>
      </c>
      <c r="QK6" s="211">
        <f>'LIS 2'!C21</f>
        <v>0</v>
      </c>
      <c r="QL6" s="211">
        <f>'LIS 2'!C22</f>
        <v>0</v>
      </c>
      <c r="QM6" s="211">
        <f>'LIS 2'!C23</f>
        <v>0</v>
      </c>
      <c r="QN6" s="211">
        <f>'LIS 2'!C24</f>
        <v>0</v>
      </c>
      <c r="QO6" s="211">
        <f>'LIS 2'!C25</f>
        <v>0</v>
      </c>
      <c r="QP6" s="211">
        <f>'LIS 2'!C26</f>
        <v>0</v>
      </c>
      <c r="QQ6" s="211">
        <f>'LIS 2'!C27</f>
        <v>0</v>
      </c>
      <c r="QR6" s="211">
        <f>'LIS 2'!C32</f>
        <v>0</v>
      </c>
      <c r="QS6" s="211">
        <f>'LIS 2'!C33</f>
        <v>0</v>
      </c>
      <c r="QT6" s="211">
        <f>'LIS 2'!C34</f>
        <v>0</v>
      </c>
      <c r="QU6" s="211">
        <f>'LIS 2'!C35</f>
        <v>0</v>
      </c>
      <c r="QV6" s="211">
        <f>'LIS 2'!C36</f>
        <v>0</v>
      </c>
      <c r="QW6" s="211">
        <f>'LIS 2'!C37</f>
        <v>0</v>
      </c>
      <c r="QX6" s="211">
        <f>'LIS 2'!C38</f>
        <v>0</v>
      </c>
      <c r="QY6" s="211">
        <f>'LIS 2'!C39</f>
        <v>0</v>
      </c>
      <c r="QZ6" s="211">
        <f>'LIS 2'!C40</f>
        <v>0</v>
      </c>
      <c r="RA6" s="211">
        <f>'LIS 2'!C41</f>
        <v>0</v>
      </c>
      <c r="RB6" s="211">
        <f>'LIS 2'!C44</f>
        <v>0</v>
      </c>
      <c r="RC6" s="211">
        <f>'LIS 2'!C46</f>
        <v>0</v>
      </c>
      <c r="RD6" s="211">
        <f>'LIS 2'!C47</f>
        <v>0</v>
      </c>
      <c r="RE6" s="211">
        <f>'LIS 2'!C48</f>
        <v>0</v>
      </c>
      <c r="RF6" s="211">
        <f>'LIS 2'!C49</f>
        <v>0</v>
      </c>
      <c r="RG6" s="211">
        <f>'LIS 2'!C50</f>
        <v>0</v>
      </c>
      <c r="RH6" s="211">
        <f>'LIS 2'!C51</f>
        <v>0</v>
      </c>
      <c r="RI6" s="211">
        <f>'LIS 2'!C52</f>
        <v>0</v>
      </c>
      <c r="RJ6" s="211">
        <f>'LIS 2'!C53</f>
        <v>0</v>
      </c>
      <c r="RK6" s="211">
        <f>'LIS 2'!C54</f>
        <v>0</v>
      </c>
      <c r="RL6" s="211">
        <f>'LIS 2'!C55</f>
        <v>0</v>
      </c>
      <c r="RM6" s="211">
        <f>'LIS 2'!C59</f>
        <v>0</v>
      </c>
      <c r="RN6" s="211">
        <f>'LIS 2'!C60</f>
        <v>0</v>
      </c>
      <c r="RO6" s="211">
        <f>'LIS 2'!C61</f>
        <v>0</v>
      </c>
      <c r="RP6" s="211">
        <f>'LIS 2'!C62</f>
        <v>0</v>
      </c>
      <c r="RQ6" s="211">
        <f>'LIS 2'!C63</f>
        <v>0</v>
      </c>
      <c r="RR6" s="211">
        <f>'LIS 2'!C67</f>
        <v>0</v>
      </c>
      <c r="RS6" s="211">
        <f>'LIS 2'!C73</f>
        <v>0</v>
      </c>
      <c r="RT6" s="211">
        <f>'LIS 2'!C75</f>
        <v>0</v>
      </c>
      <c r="RU6" s="211">
        <f>'Media QC 5'!C25</f>
        <v>0</v>
      </c>
      <c r="RV6" s="211">
        <f>'Media QC 5'!C40</f>
        <v>0</v>
      </c>
      <c r="RW6" s="211">
        <f>'Media QC 5'!C41</f>
        <v>0</v>
      </c>
      <c r="RX6" s="211">
        <f>'Media QC 5'!C42</f>
        <v>0</v>
      </c>
      <c r="RY6" s="211">
        <f>'Media QC 5'!C43</f>
        <v>0</v>
      </c>
      <c r="RZ6" s="211">
        <f>'Media QC 5'!C44</f>
        <v>0</v>
      </c>
      <c r="SA6" s="211">
        <f>'Media QC 5'!C45</f>
        <v>0</v>
      </c>
      <c r="SB6" s="211">
        <f>'Media QC 5'!C46</f>
        <v>0</v>
      </c>
      <c r="SC6" s="211">
        <f>'Media QC 5'!C47</f>
        <v>0</v>
      </c>
      <c r="SD6" s="211">
        <f>'Media QC 5'!C48</f>
        <v>0</v>
      </c>
      <c r="SE6" s="211">
        <f>'Media QC 5'!C63</f>
        <v>0</v>
      </c>
      <c r="SF6" s="211">
        <f>'Media QC 5'!C64</f>
        <v>0</v>
      </c>
      <c r="SG6" s="211">
        <f>'Media QC 5'!C69</f>
        <v>0</v>
      </c>
      <c r="SH6" s="211">
        <f>'ID QC 6'!C157</f>
        <v>0</v>
      </c>
      <c r="SI6" s="211">
        <f>'ID QC 6'!C162</f>
        <v>0</v>
      </c>
      <c r="SJ6" s="112" t="str">
        <f>'Processing 9'!F13</f>
        <v>0</v>
      </c>
      <c r="SK6" s="211">
        <f>'Identification 10'!C12</f>
        <v>0</v>
      </c>
      <c r="SL6" s="211">
        <f>'Identification 10'!C21</f>
        <v>0</v>
      </c>
      <c r="SM6" s="211">
        <f>'Identification 10'!C27</f>
        <v>0</v>
      </c>
      <c r="SN6" s="211">
        <f>'Identification 10'!C34</f>
        <v>0</v>
      </c>
      <c r="SO6" s="211">
        <f>'Identification 10'!C43</f>
        <v>0</v>
      </c>
      <c r="SP6" s="211">
        <f>'Identification 10'!C50</f>
        <v>0</v>
      </c>
      <c r="SQ6" s="211">
        <f>'Identification 10'!C59</f>
        <v>0</v>
      </c>
      <c r="SR6" s="211">
        <f>'Identification 10'!C66</f>
        <v>0</v>
      </c>
      <c r="SS6" s="211">
        <f>'Identification 10'!C73</f>
        <v>0</v>
      </c>
      <c r="ST6" s="211">
        <f>'Identification 10'!C81</f>
        <v>0</v>
      </c>
      <c r="SU6" s="211">
        <f>'Identification 10'!C89</f>
        <v>0</v>
      </c>
      <c r="SV6" s="211">
        <f>'Identification 10'!C96</f>
        <v>0</v>
      </c>
      <c r="SW6" s="211">
        <f>'Identification 10'!C103</f>
        <v>0</v>
      </c>
      <c r="SX6" s="211">
        <f>'Identification 10'!C110</f>
        <v>0</v>
      </c>
      <c r="SY6" s="211">
        <f>'Identification 10'!C117</f>
        <v>0</v>
      </c>
      <c r="SZ6" s="211">
        <f>'Identification 10'!C124</f>
        <v>0</v>
      </c>
      <c r="TA6" s="211">
        <f>'Identification 10'!C131</f>
        <v>0</v>
      </c>
      <c r="TB6" s="211">
        <f>'Identification 10'!C138</f>
        <v>0</v>
      </c>
      <c r="TC6" s="211">
        <f>'Identification 10'!C145</f>
        <v>0</v>
      </c>
      <c r="TD6" s="211">
        <f>'Identification 10'!C154</f>
        <v>0</v>
      </c>
      <c r="TE6" s="211">
        <f>'Identification 10'!C161</f>
        <v>0</v>
      </c>
      <c r="TF6" s="211">
        <f>'Identification 10'!C170</f>
        <v>0</v>
      </c>
      <c r="TG6" s="211">
        <f>'Identification 10'!C177</f>
        <v>0</v>
      </c>
      <c r="TH6" s="211">
        <f>'Identification 10'!C184</f>
        <v>0</v>
      </c>
      <c r="TI6" s="211">
        <f>'Identification 10'!C191</f>
        <v>0</v>
      </c>
      <c r="TJ6" s="211">
        <f>'Identification 10'!C198</f>
        <v>0</v>
      </c>
      <c r="TK6" s="211">
        <f>'Identification 10'!C236</f>
        <v>0</v>
      </c>
      <c r="TL6" s="211">
        <f>'Identification 10'!C237</f>
        <v>0</v>
      </c>
      <c r="TM6" s="211">
        <f>'Identification 10'!C238</f>
        <v>0</v>
      </c>
      <c r="TN6" s="211">
        <f>'Identification 10'!C239</f>
        <v>0</v>
      </c>
      <c r="TO6" s="211">
        <f>'Identification 10'!C240</f>
        <v>0</v>
      </c>
      <c r="TP6" s="211">
        <f>'Identification 10'!C241</f>
        <v>0</v>
      </c>
      <c r="TQ6" s="211">
        <f>'Identification 10'!C242</f>
        <v>0</v>
      </c>
      <c r="TR6" s="211">
        <f>'Identification 10'!C243</f>
        <v>0</v>
      </c>
      <c r="TS6" s="211">
        <f>'Identification 10'!C244</f>
        <v>0</v>
      </c>
      <c r="TT6" s="211">
        <f>'Basic AST 11'!C9</f>
        <v>0</v>
      </c>
      <c r="TU6" s="211">
        <f>'Basic AST 11'!C10</f>
        <v>0</v>
      </c>
      <c r="TV6" s="211">
        <f>'Basic AST 11'!C11</f>
        <v>0</v>
      </c>
      <c r="TW6" s="211">
        <f>'Basic AST 11'!C38</f>
        <v>0</v>
      </c>
      <c r="TX6" s="211">
        <f>'Basic AST 11'!C61</f>
        <v>0</v>
      </c>
      <c r="TY6" s="211">
        <f>'Basic AST 11'!C70</f>
        <v>0</v>
      </c>
      <c r="TZ6" s="211">
        <f>'Basic AST 11'!C74</f>
        <v>0</v>
      </c>
      <c r="UA6" s="211">
        <f>'Basic AST 11'!C75</f>
        <v>0</v>
      </c>
      <c r="UB6" s="211">
        <f>'Basic AST 11'!C78</f>
        <v>0</v>
      </c>
      <c r="UC6" s="211">
        <f>'Basic AST 11'!C84</f>
        <v>0</v>
      </c>
      <c r="UD6" s="211">
        <f>'Basic AST 11'!C85</f>
        <v>0</v>
      </c>
      <c r="UE6" s="211">
        <f>'Basic AST 11'!C86</f>
        <v>0</v>
      </c>
      <c r="UF6" s="211">
        <f>'Basic AST 11'!C87</f>
        <v>0</v>
      </c>
      <c r="UG6" s="211">
        <f>'AST Expert rules 12'!C45</f>
        <v>0</v>
      </c>
      <c r="UH6" s="211">
        <f>'AST Expert rules 12'!C50</f>
        <v>0</v>
      </c>
      <c r="UI6" s="211">
        <f>'AST Expert rules 12'!C51</f>
        <v>0</v>
      </c>
      <c r="UJ6" s="211">
        <f>'AST Expert rules 12'!C52</f>
        <v>0</v>
      </c>
      <c r="UK6" s="211">
        <f>'AST Expert rules 12'!C58</f>
        <v>0</v>
      </c>
      <c r="UL6" s="211">
        <f>'AST Expert rules 12'!C62</f>
        <v>0</v>
      </c>
      <c r="UM6" s="211">
        <f>'AST Expert rules 12'!C63</f>
        <v>0</v>
      </c>
      <c r="UN6" s="211">
        <f>'AST Expert rules 12'!C64</f>
        <v>0</v>
      </c>
      <c r="UO6" s="211">
        <f>'AST Expert rules 12'!C65</f>
        <v>0</v>
      </c>
      <c r="UP6" s="211">
        <f>'AST Expert rules 12'!C66</f>
        <v>0</v>
      </c>
      <c r="UQ6" s="211">
        <f>'AST Expert rules 12'!C67</f>
        <v>0</v>
      </c>
      <c r="UR6" s="211">
        <f>'AST Expert rules 12'!C68</f>
        <v>0</v>
      </c>
      <c r="US6" s="211">
        <f>'AST Expert rules 12'!C69</f>
        <v>0</v>
      </c>
      <c r="UT6" s="211">
        <f>'AST Expert rules 12'!C81</f>
        <v>0</v>
      </c>
      <c r="UU6" s="211">
        <f>'AST Expert rules 12'!C75</f>
        <v>0</v>
      </c>
      <c r="UV6" s="211">
        <f>'AST Expert rules 12'!C82</f>
        <v>0</v>
      </c>
      <c r="UW6" s="211">
        <f>'AST Expert rules 12'!C84</f>
        <v>0</v>
      </c>
      <c r="UX6" s="211">
        <f>'AST Expert rules 12'!C85</f>
        <v>0</v>
      </c>
      <c r="UY6" s="211">
        <f>'AST Expert rules 12'!C90</f>
        <v>0</v>
      </c>
      <c r="UZ6" s="211">
        <f>'AST Expert rules 12'!C91</f>
        <v>0</v>
      </c>
      <c r="VA6" s="211">
        <f>'AST Expert rules 12'!C99</f>
        <v>0</v>
      </c>
      <c r="VB6" s="211">
        <f>'AST Expert rules 12'!C101</f>
        <v>0</v>
      </c>
      <c r="VC6" s="211">
        <f>'AST Expert rules 12'!C109</f>
        <v>0</v>
      </c>
      <c r="VD6" s="211">
        <f>'AST Expert rules 12'!C123</f>
        <v>0</v>
      </c>
      <c r="VE6" s="211">
        <f>'AST Expert rules 12'!C136</f>
        <v>0</v>
      </c>
      <c r="VF6" s="211">
        <f>'AST Expert rules 12'!C137</f>
        <v>0</v>
      </c>
      <c r="VG6" s="211">
        <f>'AST Expert rules 12'!C138</f>
        <v>0</v>
      </c>
      <c r="VH6" s="211">
        <f>'AST Expert rules 12'!C139</f>
        <v>0</v>
      </c>
      <c r="VI6" s="211">
        <f>'AST Expert rules 12'!C143</f>
        <v>0</v>
      </c>
      <c r="VJ6" s="211">
        <f>'AST Expert rules 12'!C144</f>
        <v>0</v>
      </c>
      <c r="VK6" s="211">
        <f>'AST Expert rules 12'!C145</f>
        <v>0</v>
      </c>
      <c r="VL6" s="211">
        <f>'AST Expert rules 12'!C146</f>
        <v>0</v>
      </c>
      <c r="VM6" s="211">
        <f>'AST Expert rules 12'!C147</f>
        <v>0</v>
      </c>
      <c r="VN6" s="211">
        <f>'AST Policy 13'!C19</f>
        <v>0</v>
      </c>
      <c r="VO6" s="211">
        <f>'AST Policy 13'!C40</f>
        <v>0</v>
      </c>
    </row>
    <row r="7" spans="1:587">
      <c r="B7"/>
      <c r="C7"/>
      <c r="T7" s="321"/>
      <c r="U7" s="297"/>
      <c r="V7" s="297"/>
      <c r="W7" s="297"/>
      <c r="X7" s="297"/>
      <c r="Y7" s="297"/>
      <c r="Z7" s="297"/>
      <c r="AA7" s="297"/>
      <c r="AB7" s="297"/>
      <c r="AC7" s="297"/>
      <c r="AD7" s="297"/>
      <c r="AE7" s="297"/>
      <c r="AF7" s="297"/>
      <c r="AG7" s="297"/>
      <c r="AH7" s="297"/>
      <c r="AI7" s="297"/>
      <c r="AJ7" s="297"/>
      <c r="AK7" s="297"/>
      <c r="AL7" s="297"/>
      <c r="AM7" s="297"/>
      <c r="AN7" s="297"/>
      <c r="BB7" s="321"/>
      <c r="BC7" s="297"/>
      <c r="BD7" s="297"/>
      <c r="BF7" s="297"/>
      <c r="BG7" s="297"/>
      <c r="BH7" s="297"/>
      <c r="BI7" s="297"/>
      <c r="BJ7" s="297"/>
      <c r="BK7" s="297"/>
      <c r="BL7" s="297"/>
      <c r="BM7" s="297"/>
      <c r="BN7" s="297"/>
      <c r="BO7" s="297"/>
      <c r="BP7" s="297"/>
      <c r="BQ7" s="297"/>
      <c r="BR7" s="297"/>
      <c r="BS7" s="297"/>
      <c r="BT7" s="297"/>
      <c r="BU7" s="297"/>
      <c r="BV7" s="297"/>
      <c r="BW7" s="297"/>
      <c r="BX7" s="297"/>
      <c r="BY7" s="297"/>
      <c r="BZ7" s="297"/>
      <c r="CA7" s="297"/>
      <c r="CB7" s="297"/>
      <c r="CD7" s="297"/>
      <c r="CE7" s="297"/>
      <c r="CF7" s="297"/>
      <c r="CG7" s="297"/>
      <c r="CH7" s="297"/>
      <c r="CI7" s="297"/>
      <c r="CJ7" s="297"/>
      <c r="CK7" s="297"/>
      <c r="CL7" s="297"/>
      <c r="CM7" s="297"/>
      <c r="CN7" s="297"/>
      <c r="CO7" s="297"/>
      <c r="CQ7" s="297"/>
      <c r="CR7" s="297"/>
      <c r="CS7" s="297"/>
      <c r="CT7" s="297"/>
      <c r="CU7" s="297"/>
      <c r="CV7" s="297"/>
      <c r="CW7" s="297"/>
      <c r="CX7" s="297"/>
      <c r="CY7" s="297"/>
      <c r="CZ7" s="297"/>
      <c r="DA7" s="297"/>
      <c r="DC7" s="297"/>
      <c r="DD7" s="297"/>
      <c r="DE7" s="297"/>
      <c r="DF7" s="297"/>
      <c r="DG7" s="297"/>
      <c r="DH7" s="297"/>
      <c r="DI7" s="297"/>
      <c r="DJ7" s="297"/>
      <c r="DK7" s="297"/>
      <c r="DL7" s="297"/>
      <c r="DM7" s="297"/>
      <c r="DN7" s="297"/>
      <c r="DP7" s="297"/>
      <c r="DQ7" s="297"/>
      <c r="DR7" s="297"/>
      <c r="DS7" s="297"/>
      <c r="DT7" s="297"/>
      <c r="DU7" s="297"/>
      <c r="DV7" s="297"/>
      <c r="DW7" s="297"/>
      <c r="DX7" s="297"/>
      <c r="DY7" s="297"/>
      <c r="DZ7" s="297"/>
      <c r="EM7" s="297"/>
      <c r="EN7" s="297"/>
      <c r="EO7" s="297"/>
      <c r="EP7" s="297"/>
      <c r="EQ7" s="297"/>
      <c r="ER7" s="297"/>
      <c r="ES7" s="297"/>
      <c r="ET7" s="297"/>
      <c r="EU7" s="297"/>
      <c r="EV7" s="297"/>
      <c r="EW7" s="297"/>
      <c r="EX7" s="297"/>
      <c r="EY7" s="297"/>
      <c r="EZ7" s="297"/>
      <c r="FA7" s="297"/>
      <c r="FB7" s="297"/>
      <c r="FC7" s="297"/>
      <c r="FD7" s="297"/>
      <c r="FE7" s="297"/>
      <c r="FF7" s="297"/>
      <c r="FG7" s="297"/>
      <c r="FH7" s="297"/>
      <c r="FI7" s="297"/>
      <c r="FJ7" s="297"/>
      <c r="FK7" s="297"/>
      <c r="FL7" s="297"/>
      <c r="FM7" s="297"/>
      <c r="FN7" s="297"/>
      <c r="FO7" s="297"/>
      <c r="FP7" s="297"/>
      <c r="FQ7" s="297"/>
      <c r="FR7" s="297"/>
      <c r="FS7" s="297"/>
      <c r="KC7" s="297"/>
      <c r="KD7" s="297"/>
      <c r="KE7" s="297"/>
      <c r="KF7" s="297"/>
      <c r="KG7" s="297"/>
      <c r="KH7" s="297"/>
      <c r="KI7" s="297"/>
      <c r="KJ7" s="297"/>
      <c r="KK7" s="297"/>
      <c r="KL7" s="297"/>
      <c r="KM7" s="297"/>
      <c r="KN7" s="297"/>
      <c r="KO7" s="297"/>
      <c r="KP7" s="297"/>
      <c r="KQ7" s="297"/>
      <c r="KR7" s="297"/>
      <c r="KS7" s="297"/>
      <c r="KT7" s="297"/>
      <c r="KU7" s="297"/>
      <c r="KV7" s="297"/>
      <c r="KW7" s="297"/>
      <c r="KX7" s="297"/>
      <c r="KY7" s="297"/>
      <c r="KZ7" s="297"/>
      <c r="LA7" s="297"/>
      <c r="LB7" s="297"/>
      <c r="LC7" s="297"/>
      <c r="LD7" s="297"/>
      <c r="LE7" s="297"/>
      <c r="LF7" s="297"/>
      <c r="LG7" s="297"/>
      <c r="LH7" s="297"/>
      <c r="LI7" s="297"/>
      <c r="LJ7" s="297"/>
      <c r="LK7" s="297"/>
      <c r="LL7" s="297"/>
      <c r="LM7" s="297"/>
      <c r="LN7" s="297"/>
      <c r="LO7" s="297"/>
      <c r="LP7" s="297"/>
      <c r="LQ7" s="297"/>
      <c r="LR7" s="297"/>
      <c r="LS7" s="297"/>
      <c r="LT7" s="297"/>
      <c r="LU7" s="297"/>
      <c r="LV7" s="297"/>
      <c r="LW7" s="297"/>
      <c r="LX7" s="297"/>
      <c r="LY7" s="297"/>
      <c r="LZ7" s="297"/>
      <c r="MA7" s="297"/>
      <c r="MB7" s="297"/>
      <c r="MC7" s="297"/>
      <c r="MD7" s="297"/>
      <c r="ME7" s="297"/>
      <c r="MF7" s="297"/>
      <c r="MG7" s="297"/>
      <c r="MH7" s="297"/>
      <c r="MI7" s="297"/>
      <c r="MJ7" s="297"/>
      <c r="MK7" s="297"/>
      <c r="ML7" s="297"/>
      <c r="MM7" s="297"/>
      <c r="MN7" s="297"/>
      <c r="MO7" s="297"/>
      <c r="MP7" s="297"/>
      <c r="MQ7" s="297"/>
      <c r="MR7" s="297"/>
      <c r="MS7" s="297"/>
      <c r="MT7" s="297"/>
      <c r="MU7" s="297"/>
      <c r="MV7" s="297"/>
      <c r="MW7" s="297"/>
      <c r="MX7" s="297"/>
      <c r="MY7" s="297"/>
      <c r="MZ7" s="297"/>
      <c r="NA7" s="297"/>
      <c r="NB7" s="297"/>
      <c r="NC7" s="297"/>
      <c r="ND7" s="297"/>
      <c r="NE7" s="297"/>
      <c r="NF7" s="297"/>
      <c r="NG7" s="297"/>
      <c r="NH7" s="297"/>
      <c r="NI7" s="297"/>
      <c r="NJ7" s="297"/>
      <c r="NK7" s="297"/>
      <c r="NL7" s="297"/>
      <c r="NM7" s="297"/>
      <c r="NN7" s="297"/>
      <c r="NO7" s="297"/>
      <c r="NP7" s="297"/>
      <c r="NQ7" s="297"/>
      <c r="NR7" s="297"/>
      <c r="NS7" s="297"/>
      <c r="NT7" s="297"/>
      <c r="NU7" s="297"/>
      <c r="NV7" s="297"/>
      <c r="NW7" s="297"/>
      <c r="NX7" s="297"/>
      <c r="NY7" s="297"/>
      <c r="NZ7" s="297"/>
      <c r="OA7" s="297"/>
      <c r="OB7" s="297"/>
      <c r="OC7" s="297"/>
      <c r="OD7" s="297"/>
      <c r="OE7" s="297"/>
      <c r="OF7" s="297"/>
      <c r="OG7" s="297"/>
      <c r="OH7" s="297"/>
      <c r="OI7" s="297"/>
      <c r="OJ7" s="297"/>
      <c r="OK7" s="297"/>
      <c r="OL7" s="297"/>
      <c r="OM7" s="297"/>
      <c r="ON7" s="297"/>
      <c r="OO7" s="297"/>
      <c r="OP7" s="297"/>
      <c r="OQ7" s="297"/>
      <c r="OR7" s="297"/>
      <c r="OS7" s="297"/>
      <c r="OT7" s="297"/>
      <c r="OU7" s="297"/>
      <c r="OV7" s="297"/>
      <c r="OW7" s="297"/>
      <c r="OX7" s="297"/>
      <c r="OY7" s="297"/>
      <c r="OZ7" s="297"/>
      <c r="PA7" s="297"/>
      <c r="PB7" s="297"/>
      <c r="PC7" s="297"/>
      <c r="PD7" s="297"/>
      <c r="PE7" s="297"/>
      <c r="PF7" s="297"/>
    </row>
    <row r="8" spans="1:587">
      <c r="A8" s="400" t="str">
        <f>Language!A1674</f>
        <v>Refer to the User Guide for Export instructions. Failure to follow directions will result in major errors.</v>
      </c>
      <c r="B8" s="403"/>
      <c r="C8" s="403"/>
      <c r="D8" s="403"/>
      <c r="E8" s="403"/>
      <c r="F8" s="403"/>
      <c r="G8" s="403"/>
      <c r="H8" s="403"/>
      <c r="I8" s="403"/>
      <c r="J8" s="403"/>
      <c r="K8" s="403"/>
      <c r="L8" s="403"/>
      <c r="M8" s="403"/>
      <c r="N8" s="403"/>
      <c r="O8" s="403"/>
      <c r="P8" s="403"/>
      <c r="Q8" s="403"/>
      <c r="R8" s="403"/>
      <c r="S8" s="403"/>
      <c r="T8" s="404"/>
      <c r="U8" s="297"/>
      <c r="V8" s="297"/>
      <c r="W8" s="297"/>
      <c r="X8" s="297"/>
      <c r="Y8" s="297"/>
      <c r="Z8" s="297"/>
      <c r="AA8" s="297"/>
      <c r="AB8" s="297"/>
      <c r="AC8" s="297"/>
      <c r="AD8" s="297"/>
      <c r="AE8" s="297"/>
      <c r="AF8" s="297"/>
      <c r="AG8" s="297"/>
      <c r="AH8" s="297"/>
      <c r="AI8" s="297"/>
      <c r="AJ8" s="297"/>
      <c r="AK8" s="297"/>
      <c r="AL8" s="297"/>
      <c r="AM8" s="297"/>
      <c r="AN8" s="297"/>
      <c r="BB8" s="321"/>
      <c r="BC8" s="297"/>
      <c r="BD8" s="297"/>
      <c r="BF8" s="297"/>
      <c r="BG8" s="297"/>
      <c r="BH8" s="297"/>
      <c r="BI8" s="297"/>
      <c r="BJ8" s="297"/>
      <c r="BK8" s="297"/>
      <c r="BL8" s="297"/>
      <c r="BM8" s="297"/>
      <c r="BN8" s="297"/>
      <c r="BO8" s="297"/>
      <c r="BP8" s="297"/>
      <c r="BQ8" s="297"/>
      <c r="BR8" s="297"/>
      <c r="BS8" s="297"/>
      <c r="BT8" s="297"/>
      <c r="BU8" s="297"/>
      <c r="BV8" s="297"/>
      <c r="BW8" s="297"/>
      <c r="BX8" s="297"/>
      <c r="BY8" s="297"/>
      <c r="BZ8" s="297"/>
      <c r="CA8" s="297"/>
      <c r="CB8" s="297"/>
      <c r="CD8" s="297"/>
      <c r="CE8" s="297"/>
      <c r="CF8" s="297"/>
      <c r="CG8" s="297"/>
      <c r="CH8" s="297"/>
      <c r="CI8" s="297"/>
      <c r="CJ8" s="297"/>
      <c r="CK8" s="297"/>
      <c r="CL8" s="297"/>
      <c r="CM8" s="297"/>
      <c r="CN8" s="297"/>
      <c r="CO8" s="297"/>
      <c r="CQ8" s="297"/>
      <c r="CR8" s="297"/>
      <c r="CS8" s="297"/>
      <c r="CT8" s="297"/>
      <c r="CU8" s="297"/>
      <c r="CV8" s="297"/>
      <c r="CW8" s="297"/>
      <c r="CX8" s="297"/>
      <c r="CY8" s="297"/>
      <c r="CZ8" s="297"/>
      <c r="DA8" s="297"/>
      <c r="DC8" s="297"/>
      <c r="DD8" s="297"/>
      <c r="DE8" s="297"/>
      <c r="DF8" s="297"/>
      <c r="DG8" s="297"/>
      <c r="DH8" s="297"/>
      <c r="DI8" s="297"/>
      <c r="DJ8" s="297"/>
      <c r="DK8" s="297"/>
      <c r="DL8" s="297"/>
      <c r="DM8" s="297"/>
      <c r="DN8" s="297"/>
      <c r="DP8" s="297"/>
      <c r="DQ8" s="297"/>
      <c r="DR8" s="297"/>
      <c r="DS8" s="297"/>
      <c r="DT8" s="297"/>
      <c r="DU8" s="297"/>
      <c r="DV8" s="297"/>
      <c r="DW8" s="297"/>
      <c r="DX8" s="297"/>
      <c r="DY8" s="297"/>
      <c r="DZ8" s="297"/>
      <c r="FH8" s="297"/>
      <c r="FI8" s="297"/>
      <c r="FJ8" s="297"/>
      <c r="FK8" s="297"/>
      <c r="FL8" s="297"/>
      <c r="FM8" s="297"/>
      <c r="FN8" s="297"/>
      <c r="FO8" s="297"/>
      <c r="FP8" s="297"/>
      <c r="FQ8" s="297"/>
      <c r="FR8" s="297"/>
      <c r="FS8" s="297"/>
    </row>
    <row r="9" spans="1:587">
      <c r="T9" s="321"/>
      <c r="U9" s="297"/>
      <c r="V9" s="297"/>
      <c r="W9" s="297"/>
      <c r="X9" s="297"/>
      <c r="Y9" s="297"/>
      <c r="Z9" s="297"/>
      <c r="AA9" s="297"/>
      <c r="AB9" s="297"/>
      <c r="AC9" s="297"/>
      <c r="AD9" s="297"/>
      <c r="AE9" s="297"/>
      <c r="AF9" s="297"/>
      <c r="AG9" s="297"/>
      <c r="AH9" s="297"/>
      <c r="AI9" s="297"/>
      <c r="AJ9" s="297"/>
      <c r="AK9" s="297"/>
      <c r="AL9" s="297"/>
      <c r="AM9" s="297"/>
      <c r="AN9" s="297"/>
      <c r="BC9" s="297"/>
      <c r="BD9" s="297"/>
      <c r="BF9" s="297"/>
      <c r="BG9" s="297"/>
      <c r="BH9" s="297"/>
      <c r="BI9" s="297"/>
      <c r="BJ9" s="297"/>
      <c r="BK9" s="297"/>
      <c r="BL9" s="297"/>
      <c r="BM9" s="297"/>
      <c r="BN9" s="297"/>
      <c r="BO9" s="297"/>
      <c r="BP9" s="297"/>
      <c r="BQ9" s="297"/>
      <c r="BR9" s="297"/>
      <c r="BS9" s="297"/>
      <c r="BT9" s="297"/>
      <c r="BU9" s="297"/>
      <c r="BV9" s="297"/>
      <c r="BW9" s="297"/>
      <c r="BX9" s="297"/>
      <c r="BY9" s="297"/>
      <c r="BZ9" s="297"/>
      <c r="CA9" s="297"/>
      <c r="JU9" s="112"/>
    </row>
    <row r="10" spans="1:587">
      <c r="HJ10" s="112"/>
      <c r="JU10" s="112"/>
    </row>
    <row r="11" spans="1:587">
      <c r="HJ11" s="112"/>
    </row>
    <row r="12" spans="1:587">
      <c r="T12" s="311"/>
      <c r="AC12" s="311"/>
      <c r="JE12" s="112"/>
    </row>
    <row r="13" spans="1:587">
      <c r="AC13" s="311"/>
      <c r="HC13" s="112"/>
      <c r="HJ13" s="112"/>
      <c r="JE13" s="112"/>
    </row>
    <row r="14" spans="1:587">
      <c r="AC14" s="311"/>
      <c r="HC14" s="112"/>
      <c r="HJ14" s="112"/>
    </row>
    <row r="15" spans="1:587">
      <c r="JE15" s="112"/>
    </row>
    <row r="16" spans="1:587">
      <c r="HC16" s="112"/>
      <c r="JE16" s="112"/>
      <c r="JK16" s="112"/>
    </row>
    <row r="17" spans="54:271">
      <c r="HC17" s="112"/>
      <c r="JE17" s="112"/>
      <c r="JK17" s="112"/>
    </row>
    <row r="18" spans="54:271">
      <c r="GL18" s="112"/>
      <c r="HC18" s="112"/>
      <c r="JE18" s="112"/>
    </row>
    <row r="19" spans="54:271">
      <c r="GL19" s="112"/>
      <c r="JK19" s="112"/>
    </row>
    <row r="20" spans="54:271">
      <c r="FX20" s="112"/>
      <c r="JK20" s="112"/>
    </row>
    <row r="21" spans="54:271">
      <c r="GL21" s="112"/>
    </row>
    <row r="22" spans="54:271">
      <c r="BB22" s="287"/>
      <c r="FX22" s="112"/>
    </row>
    <row r="23" spans="54:271">
      <c r="BB23" s="287"/>
      <c r="FX23" s="112"/>
    </row>
    <row r="24" spans="54:271">
      <c r="BB24" s="287"/>
      <c r="FX24" s="112"/>
    </row>
    <row r="25" spans="54:271">
      <c r="BB25" s="287"/>
    </row>
    <row r="26" spans="54:271">
      <c r="BB26" s="287"/>
    </row>
    <row r="27" spans="54:271">
      <c r="BB27" s="287"/>
    </row>
    <row r="28" spans="54:271">
      <c r="BB28" s="287"/>
    </row>
  </sheetData>
  <sheetProtection algorithmName="SHA-256" hashValue="nf3CI3GURLeJe2DISwLIXkFMA6/aR/+TxNJrma3zNI0=" saltValue="xO9iYEB6p/cy+Q0QunOCTA==" spinCount="100000" sheet="1" objects="1" scenarios="1"/>
  <mergeCells count="42">
    <mergeCell ref="TT2:UF2"/>
    <mergeCell ref="UG2:VM2"/>
    <mergeCell ref="VN2:VO2"/>
    <mergeCell ref="PG2:QA2"/>
    <mergeCell ref="QB2:RT2"/>
    <mergeCell ref="RU2:SG2"/>
    <mergeCell ref="SH2:SI2"/>
    <mergeCell ref="SK2:TS2"/>
    <mergeCell ref="AO2:AT2"/>
    <mergeCell ref="AU2:BA2"/>
    <mergeCell ref="BB2:BV2"/>
    <mergeCell ref="FT2:FV2"/>
    <mergeCell ref="EA2:EM2"/>
    <mergeCell ref="BW2:CB2"/>
    <mergeCell ref="CC2:DA2"/>
    <mergeCell ref="DB2:DZ2"/>
    <mergeCell ref="B2:S2"/>
    <mergeCell ref="T2:X2"/>
    <mergeCell ref="Y2:AB2"/>
    <mergeCell ref="AC2:AH2"/>
    <mergeCell ref="AI2:AN2"/>
    <mergeCell ref="FX2:GK2"/>
    <mergeCell ref="GL2:GV2"/>
    <mergeCell ref="GW2:HB2"/>
    <mergeCell ref="HC2:HI2"/>
    <mergeCell ref="HJ2:HM2"/>
    <mergeCell ref="KB2:NX2"/>
    <mergeCell ref="NY2:OH2"/>
    <mergeCell ref="OI2:PF2"/>
    <mergeCell ref="EN2:FH2"/>
    <mergeCell ref="FI2:FN2"/>
    <mergeCell ref="FO2:FS2"/>
    <mergeCell ref="IL2:IO2"/>
    <mergeCell ref="IG2:IK2"/>
    <mergeCell ref="IB2:IF2"/>
    <mergeCell ref="HT2:IA2"/>
    <mergeCell ref="HN2:HS2"/>
    <mergeCell ref="JX2:KA2"/>
    <mergeCell ref="JU2:JW2"/>
    <mergeCell ref="JK2:JT2"/>
    <mergeCell ref="JE2:JJ2"/>
    <mergeCell ref="IP2:JD2"/>
  </mergeCells>
  <phoneticPr fontId="46" type="noConversion"/>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2E0A-E1C5-41D3-8DE2-0BD1B47C29C2}">
  <sheetPr>
    <tabColor rgb="FFFFFF00"/>
  </sheetPr>
  <dimension ref="A1:J40"/>
  <sheetViews>
    <sheetView showGridLines="0" zoomScaleNormal="100" workbookViewId="0">
      <selection activeCell="A11" sqref="A11"/>
    </sheetView>
  </sheetViews>
  <sheetFormatPr defaultRowHeight="15.6"/>
  <sheetData>
    <row r="1" spans="1:10">
      <c r="A1" s="38"/>
      <c r="B1" s="38"/>
      <c r="C1" s="38"/>
      <c r="D1" s="38"/>
      <c r="E1" s="38"/>
      <c r="F1" s="38"/>
      <c r="G1" s="38"/>
      <c r="H1" s="38"/>
      <c r="I1" s="38"/>
    </row>
    <row r="2" spans="1:10" ht="39.6" customHeight="1">
      <c r="A2" s="580" t="str">
        <f>Language!A16</f>
        <v>Please register your use of the Laboratory Assessment of Antibiotic Resistance Testing Capacity (LAARC) Tool.</v>
      </c>
      <c r="B2" s="580"/>
      <c r="C2" s="580"/>
      <c r="D2" s="580"/>
      <c r="E2" s="580"/>
      <c r="F2" s="580"/>
      <c r="G2" s="580"/>
      <c r="H2" s="580"/>
      <c r="I2" s="580"/>
      <c r="J2" s="507"/>
    </row>
    <row r="3" spans="1:10">
      <c r="A3" s="38"/>
      <c r="B3" s="38"/>
      <c r="C3" s="38"/>
      <c r="D3" s="38"/>
      <c r="E3" s="38"/>
      <c r="F3" s="38"/>
      <c r="G3" s="38"/>
      <c r="H3" s="38"/>
      <c r="I3" s="38"/>
    </row>
    <row r="4" spans="1:10">
      <c r="A4" s="581" t="str">
        <f>Language!A17</f>
        <v>Registration is optional.</v>
      </c>
      <c r="B4" s="581"/>
      <c r="C4" s="581"/>
      <c r="D4" s="581"/>
      <c r="E4" s="581"/>
      <c r="F4" s="581"/>
      <c r="G4" s="581"/>
      <c r="H4" s="581"/>
      <c r="I4" s="581"/>
    </row>
    <row r="5" spans="1:10">
      <c r="A5" s="581" t="str">
        <f>Language!A18</f>
        <v xml:space="preserve">If you register, CDC will notify you of updates and changes to the LAARC Tool. </v>
      </c>
      <c r="B5" s="581"/>
      <c r="C5" s="581"/>
      <c r="D5" s="581"/>
      <c r="E5" s="581"/>
      <c r="F5" s="581"/>
      <c r="G5" s="581"/>
      <c r="H5" s="581"/>
      <c r="I5" s="581"/>
    </row>
    <row r="6" spans="1:10">
      <c r="A6" s="38"/>
      <c r="B6" s="38"/>
      <c r="C6" s="38"/>
      <c r="D6" s="38"/>
      <c r="E6" s="38"/>
      <c r="F6" s="38"/>
      <c r="G6" s="38"/>
      <c r="H6" s="38"/>
      <c r="I6" s="38"/>
    </row>
    <row r="7" spans="1:10" ht="45" customHeight="1">
      <c r="A7" s="581" t="str">
        <f>Language!A19</f>
        <v>In addition, CDC may request feedback to improve the tool or ask you to participate in research to better understand antimicrobial resistance laboratory findings from around the world. Sharing information is optional.</v>
      </c>
      <c r="B7" s="581"/>
      <c r="C7" s="581"/>
      <c r="D7" s="581"/>
      <c r="E7" s="581"/>
      <c r="F7" s="581"/>
      <c r="G7" s="581"/>
      <c r="H7" s="581"/>
      <c r="I7" s="581"/>
    </row>
    <row r="8" spans="1:10">
      <c r="A8" s="38"/>
      <c r="B8" s="38"/>
      <c r="C8" s="38"/>
      <c r="D8" s="38"/>
      <c r="E8" s="38"/>
      <c r="F8" s="38"/>
      <c r="G8" s="38"/>
      <c r="H8" s="38"/>
      <c r="I8" s="38"/>
    </row>
    <row r="9" spans="1:10" s="53" customFormat="1" ht="15.6" customHeight="1">
      <c r="A9" s="678" t="str">
        <f>Language!A20</f>
        <v>LAARC Tool Registration (optional) (https://www.cdc.gov/drugresistance/intl-activities/registration.html)</v>
      </c>
      <c r="B9" s="678"/>
      <c r="C9" s="678"/>
      <c r="D9" s="678"/>
      <c r="E9" s="678"/>
      <c r="F9" s="678"/>
      <c r="G9" s="678"/>
      <c r="H9" s="678"/>
      <c r="I9" s="678"/>
    </row>
    <row r="10" spans="1:10">
      <c r="A10" s="38"/>
      <c r="B10" s="38"/>
      <c r="C10" s="38"/>
      <c r="D10" s="38"/>
      <c r="E10" s="38"/>
      <c r="F10" s="38"/>
      <c r="G10" s="38"/>
      <c r="H10" s="38"/>
      <c r="I10" s="38"/>
    </row>
    <row r="11" spans="1:10">
      <c r="A11" s="38"/>
      <c r="B11" s="38"/>
      <c r="C11" s="38"/>
      <c r="D11" s="38"/>
      <c r="E11" s="38"/>
      <c r="F11" s="38"/>
      <c r="G11" s="38"/>
      <c r="H11" s="38"/>
      <c r="I11" s="38"/>
    </row>
    <row r="12" spans="1:10" ht="49.8" customHeight="1">
      <c r="A12" s="579" t="str">
        <f>Language!A30</f>
        <v>Please use this Excel scoring tool in conjunction with the LAARC User Guide and Questionnaire, which includes the questions in a printable format. Available on the CDC website:</v>
      </c>
      <c r="B12" s="579"/>
      <c r="C12" s="579"/>
      <c r="D12" s="579"/>
      <c r="E12" s="579"/>
      <c r="F12" s="579"/>
      <c r="G12" s="579"/>
      <c r="H12" s="579"/>
      <c r="I12" s="579"/>
    </row>
    <row r="13" spans="1:10">
      <c r="B13" s="38"/>
      <c r="C13" s="38"/>
      <c r="D13" s="38"/>
      <c r="E13" s="38"/>
      <c r="F13" s="38"/>
      <c r="G13" s="38"/>
      <c r="H13" s="38"/>
      <c r="I13" s="38"/>
    </row>
    <row r="14" spans="1:10">
      <c r="A14" s="572" t="str">
        <f>Language!A31</f>
        <v>https://www.cdc.gov/drugresistance/intl-activities/laarc.html</v>
      </c>
      <c r="B14" s="38"/>
      <c r="C14" s="38"/>
      <c r="D14" s="38"/>
      <c r="E14" s="38"/>
      <c r="F14" s="38"/>
      <c r="G14" s="38"/>
      <c r="H14" s="38"/>
      <c r="I14" s="38"/>
    </row>
    <row r="15" spans="1:10">
      <c r="A15" s="38"/>
      <c r="B15" s="38"/>
      <c r="C15" s="38"/>
      <c r="D15" s="38"/>
      <c r="E15" s="38"/>
      <c r="F15" s="38"/>
      <c r="G15" s="38"/>
      <c r="H15" s="38"/>
      <c r="I15" s="38"/>
    </row>
    <row r="16" spans="1:10">
      <c r="A16" s="38"/>
      <c r="B16" s="38"/>
      <c r="C16" s="38"/>
      <c r="D16" s="38"/>
      <c r="E16" s="38"/>
      <c r="F16" s="38"/>
      <c r="G16" s="38"/>
      <c r="H16" s="38"/>
      <c r="I16" s="38"/>
    </row>
    <row r="17" spans="1:9">
      <c r="A17" s="38"/>
      <c r="B17" s="38"/>
      <c r="C17" s="38"/>
      <c r="D17" s="38"/>
      <c r="E17" s="38"/>
      <c r="F17" s="38"/>
      <c r="G17" s="38"/>
      <c r="H17" s="38"/>
      <c r="I17" s="38"/>
    </row>
    <row r="18" spans="1:9">
      <c r="A18" s="38"/>
      <c r="B18" s="38"/>
      <c r="C18" s="38"/>
      <c r="D18" s="38"/>
      <c r="E18" s="38"/>
      <c r="F18" s="38"/>
      <c r="G18" s="38"/>
      <c r="H18" s="38"/>
      <c r="I18" s="38"/>
    </row>
    <row r="19" spans="1:9">
      <c r="A19" s="38"/>
      <c r="B19" s="38"/>
      <c r="C19" s="38"/>
      <c r="D19" s="38"/>
      <c r="E19" s="38"/>
      <c r="F19" s="38"/>
      <c r="G19" s="38"/>
      <c r="H19" s="38"/>
      <c r="I19" s="38"/>
    </row>
    <row r="20" spans="1:9">
      <c r="A20" s="38"/>
      <c r="B20" s="38"/>
      <c r="C20" s="38"/>
      <c r="D20" s="38"/>
      <c r="E20" s="38"/>
      <c r="F20" s="38"/>
      <c r="G20" s="38"/>
      <c r="H20" s="38"/>
      <c r="I20" s="38"/>
    </row>
    <row r="21" spans="1:9">
      <c r="A21" s="38"/>
      <c r="B21" s="38"/>
      <c r="C21" s="38"/>
      <c r="D21" s="38"/>
      <c r="E21" s="38"/>
      <c r="F21" s="38"/>
      <c r="G21" s="38"/>
      <c r="H21" s="38"/>
      <c r="I21" s="38"/>
    </row>
    <row r="22" spans="1:9">
      <c r="A22" s="38"/>
      <c r="B22" s="38"/>
      <c r="C22" s="38"/>
      <c r="D22" s="38"/>
      <c r="E22" s="38"/>
      <c r="F22" s="38"/>
      <c r="G22" s="38"/>
      <c r="H22" s="38"/>
      <c r="I22" s="38"/>
    </row>
    <row r="23" spans="1:9">
      <c r="A23" s="38"/>
      <c r="B23" s="38"/>
      <c r="C23" s="38"/>
      <c r="D23" s="38"/>
      <c r="E23" s="38"/>
      <c r="F23" s="38"/>
      <c r="G23" s="38"/>
      <c r="H23" s="38"/>
      <c r="I23" s="38"/>
    </row>
    <row r="24" spans="1:9">
      <c r="A24" s="38"/>
      <c r="B24" s="38"/>
      <c r="C24" s="38"/>
      <c r="D24" s="38"/>
      <c r="E24" s="38"/>
      <c r="F24" s="38"/>
      <c r="G24" s="38"/>
      <c r="H24" s="38"/>
      <c r="I24" s="38"/>
    </row>
    <row r="25" spans="1:9">
      <c r="A25" s="38"/>
      <c r="B25" s="38"/>
      <c r="C25" s="38"/>
      <c r="D25" s="38"/>
      <c r="E25" s="38"/>
      <c r="F25" s="38"/>
      <c r="G25" s="38"/>
      <c r="H25" s="38"/>
      <c r="I25" s="38"/>
    </row>
    <row r="26" spans="1:9">
      <c r="A26" s="38"/>
      <c r="B26" s="38"/>
      <c r="C26" s="38"/>
      <c r="D26" s="38"/>
      <c r="E26" s="38"/>
      <c r="F26" s="38"/>
      <c r="G26" s="38"/>
      <c r="H26" s="38"/>
      <c r="I26" s="38"/>
    </row>
    <row r="27" spans="1:9">
      <c r="A27" s="38"/>
      <c r="B27" s="38"/>
      <c r="C27" s="38"/>
      <c r="D27" s="38"/>
      <c r="E27" s="38"/>
      <c r="F27" s="38"/>
      <c r="G27" s="38"/>
      <c r="H27" s="38"/>
      <c r="I27" s="38"/>
    </row>
    <row r="28" spans="1:9">
      <c r="A28" s="38"/>
      <c r="B28" s="38"/>
      <c r="C28" s="38"/>
      <c r="D28" s="38"/>
      <c r="E28" s="38"/>
      <c r="F28" s="38"/>
      <c r="G28" s="38"/>
      <c r="H28" s="38"/>
      <c r="I28" s="38"/>
    </row>
    <row r="29" spans="1:9">
      <c r="A29" s="38"/>
      <c r="B29" s="38"/>
      <c r="C29" s="38"/>
      <c r="D29" s="38"/>
      <c r="E29" s="38"/>
      <c r="F29" s="38"/>
      <c r="G29" s="38"/>
      <c r="H29" s="38"/>
      <c r="I29" s="38"/>
    </row>
    <row r="30" spans="1:9">
      <c r="A30" s="38"/>
      <c r="B30" s="38"/>
      <c r="C30" s="38"/>
      <c r="D30" s="38"/>
      <c r="E30" s="38"/>
      <c r="F30" s="38"/>
      <c r="G30" s="38"/>
      <c r="H30" s="38"/>
      <c r="I30" s="38"/>
    </row>
    <row r="31" spans="1:9">
      <c r="A31" s="38"/>
      <c r="B31" s="38"/>
      <c r="C31" s="38"/>
      <c r="D31" s="38"/>
      <c r="E31" s="38"/>
      <c r="F31" s="38"/>
      <c r="G31" s="38"/>
      <c r="H31" s="38"/>
      <c r="I31" s="38"/>
    </row>
    <row r="32" spans="1:9">
      <c r="A32" s="38"/>
      <c r="B32" s="38"/>
      <c r="C32" s="38"/>
      <c r="D32" s="38"/>
      <c r="E32" s="38"/>
      <c r="F32" s="38"/>
      <c r="G32" s="38"/>
      <c r="H32" s="38"/>
      <c r="I32" s="38"/>
    </row>
    <row r="33" spans="1:9">
      <c r="A33" s="38"/>
      <c r="B33" s="38"/>
      <c r="C33" s="38"/>
      <c r="D33" s="38"/>
      <c r="E33" s="38"/>
      <c r="F33" s="38"/>
      <c r="G33" s="38"/>
      <c r="H33" s="38"/>
      <c r="I33" s="38"/>
    </row>
    <row r="34" spans="1:9">
      <c r="A34" s="38"/>
      <c r="B34" s="38"/>
      <c r="C34" s="38"/>
      <c r="D34" s="38"/>
      <c r="E34" s="38"/>
      <c r="F34" s="38"/>
      <c r="G34" s="38"/>
      <c r="H34" s="38"/>
      <c r="I34" s="38"/>
    </row>
    <row r="35" spans="1:9">
      <c r="A35" s="38"/>
      <c r="B35" s="38"/>
      <c r="C35" s="38"/>
      <c r="D35" s="38"/>
      <c r="E35" s="38"/>
      <c r="F35" s="38"/>
      <c r="G35" s="38"/>
      <c r="H35" s="38"/>
      <c r="I35" s="38"/>
    </row>
    <row r="36" spans="1:9">
      <c r="A36" s="38"/>
      <c r="B36" s="38"/>
      <c r="C36" s="38"/>
      <c r="D36" s="38"/>
      <c r="E36" s="38"/>
      <c r="F36" s="38"/>
      <c r="G36" s="38"/>
      <c r="H36" s="38"/>
      <c r="I36" s="38"/>
    </row>
    <row r="37" spans="1:9">
      <c r="A37" s="38"/>
      <c r="B37" s="38"/>
      <c r="C37" s="38"/>
      <c r="D37" s="38"/>
      <c r="E37" s="38"/>
      <c r="F37" s="38"/>
      <c r="G37" s="38"/>
      <c r="H37" s="38"/>
      <c r="I37" s="38"/>
    </row>
    <row r="38" spans="1:9">
      <c r="A38" s="38"/>
      <c r="B38" s="38"/>
      <c r="C38" s="38"/>
      <c r="D38" s="38"/>
      <c r="E38" s="38"/>
      <c r="F38" s="38"/>
      <c r="G38" s="38"/>
      <c r="H38" s="38"/>
      <c r="I38" s="38"/>
    </row>
    <row r="39" spans="1:9">
      <c r="A39" s="38"/>
      <c r="B39" s="38"/>
      <c r="C39" s="38"/>
      <c r="D39" s="38"/>
      <c r="E39" s="38"/>
      <c r="F39" s="38"/>
      <c r="G39" s="38"/>
      <c r="H39" s="38"/>
      <c r="I39" s="38"/>
    </row>
    <row r="40" spans="1:9">
      <c r="A40" s="38"/>
      <c r="B40" s="38"/>
      <c r="C40" s="38"/>
      <c r="D40" s="38"/>
      <c r="E40" s="38"/>
      <c r="F40" s="38"/>
      <c r="G40" s="38"/>
      <c r="H40" s="38"/>
      <c r="I40" s="38"/>
    </row>
  </sheetData>
  <sheetProtection algorithmName="SHA-256" hashValue="y9iheUyDVUfaAQXr5I2KbUEbHmAL5KRqpLkXiT9oWFg=" saltValue="Mr6bU22OvHhcqoLG6Pod6Q==" spinCount="100000" sheet="1" objects="1" scenarios="1"/>
  <mergeCells count="5">
    <mergeCell ref="A12:I12"/>
    <mergeCell ref="A2:I2"/>
    <mergeCell ref="A4:I4"/>
    <mergeCell ref="A5:I5"/>
    <mergeCell ref="A7:I7"/>
  </mergeCells>
  <hyperlinks>
    <hyperlink ref="A9" r:id="rId1" display="https://wwwdev.cdc.gov/drugresistance/LAARC/registration.html" xr:uid="{48242D60-E514-4926-A4FC-EEDD0F1721E6}"/>
    <hyperlink ref="A9:I9" r:id="rId2" display="https://www.cdc.gov/drugresistance/intl-activities/registration.html" xr:uid="{430A05EE-77D6-4140-819B-8C7620C4D312}"/>
    <hyperlink ref="A14" r:id="rId3" display="https://www.cdc.gov/drugresistance/intl-activities/laarc.html" xr:uid="{22784B9B-FE6B-4BEA-8D8E-B976CF7F145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
  <sheetViews>
    <sheetView zoomScaleNormal="100" zoomScalePageLayoutView="90" workbookViewId="0">
      <selection activeCell="B123" sqref="B123"/>
    </sheetView>
  </sheetViews>
  <sheetFormatPr defaultColWidth="11" defaultRowHeight="15.6"/>
  <cols>
    <col min="1" max="1" width="5.5" customWidth="1"/>
    <col min="2" max="2" width="50.5" customWidth="1"/>
  </cols>
  <sheetData>
    <row r="1" spans="2:2">
      <c r="B1" s="11"/>
    </row>
  </sheetData>
  <sheetProtection algorithmName="SHA-256" hashValue="WqTO6Lvab0j5kU8N3vw01e6yk6YbmGUWJ5B0WpegF9g=" saltValue="e8R1NdB/kKc5/Q/CgtcS7Q==" spinCount="100000" sheet="1" objects="1" scenarios="1"/>
  <phoneticPr fontId="46" type="noConversion"/>
  <pageMargins left="0.70000000000000007" right="0.70000000000000007" top="0.75000000000000011" bottom="0.75000000000000011" header="0.30000000000000004" footer="0.30000000000000004"/>
  <pageSetup paperSize="9" scale="80" fitToHeight="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P75"/>
  <sheetViews>
    <sheetView showGridLines="0" zoomScale="85" zoomScaleNormal="85" zoomScaleSheetLayoutView="100" zoomScalePageLayoutView="80" workbookViewId="0">
      <selection activeCell="B4" sqref="B4"/>
    </sheetView>
  </sheetViews>
  <sheetFormatPr defaultColWidth="8.69921875" defaultRowHeight="15.6"/>
  <cols>
    <col min="1" max="1" width="4.19921875" customWidth="1"/>
    <col min="2" max="2" width="9.69921875" customWidth="1"/>
    <col min="10" max="10" width="2.69921875" style="53" customWidth="1"/>
    <col min="11" max="11" width="10" customWidth="1"/>
  </cols>
  <sheetData>
    <row r="1" spans="1:1">
      <c r="A1" s="349" t="str">
        <f>Language!A35</f>
        <v>Figure for use with Facility Module, question 1.13</v>
      </c>
    </row>
    <row r="2" spans="1:1">
      <c r="A2" s="286" t="str">
        <f>Language!A36</f>
        <v>McFarland QC Standards in front of a Wickerham card</v>
      </c>
    </row>
    <row r="26" spans="1:10">
      <c r="J26"/>
    </row>
    <row r="27" spans="1:10">
      <c r="A27" s="1" t="str">
        <f>Language!A23</f>
        <v>Figure for use with AST QC Module, questions 7.7 - 7.11</v>
      </c>
      <c r="J27"/>
    </row>
    <row r="28" spans="1:10">
      <c r="A28" t="str">
        <f>Language!A24</f>
        <v>Workflow for subculturing and using reference strains</v>
      </c>
      <c r="J28"/>
    </row>
    <row r="29" spans="1:10">
      <c r="A29" t="str">
        <f>Language!A25</f>
        <v>as described in CLSI M02, Subchapter 4.4</v>
      </c>
      <c r="J29"/>
    </row>
    <row r="30" spans="1:10">
      <c r="A30" t="str">
        <f>Language!A26</f>
        <v>"F" indicates the frozen or freeze-dried state of the stock culture</v>
      </c>
      <c r="J30"/>
    </row>
    <row r="31" spans="1:10">
      <c r="A31" t="str">
        <f>Language!A27</f>
        <v>"1" indicates the first passage</v>
      </c>
      <c r="J31"/>
    </row>
    <row r="32" spans="1:10">
      <c r="A32" t="str">
        <f>Language!A28</f>
        <v>"2" indicates the second passage</v>
      </c>
      <c r="J32"/>
    </row>
    <row r="33" spans="1:16">
      <c r="A33" t="str">
        <f>Language!A29</f>
        <v>"3" indicates the third passage from stock culture</v>
      </c>
      <c r="J33"/>
    </row>
    <row r="34" spans="1:16">
      <c r="J34"/>
    </row>
    <row r="35" spans="1:16">
      <c r="A35" s="1" t="str">
        <f>Language!A21</f>
        <v>Tables for use with AST Expert Rules Module, questions 12.7 - 12.25</v>
      </c>
    </row>
    <row r="36" spans="1:16" ht="16.2" thickBot="1">
      <c r="A36" s="278"/>
      <c r="B36" s="278" t="str">
        <f>Language!A22</f>
        <v>Current CLSI and EUCAST breakpoints for Salmonella spp, Enterobacterales, Acinetobacter spp, and Pseudomonas aeruginosa</v>
      </c>
    </row>
    <row r="37" spans="1:16" ht="16.2" thickBot="1">
      <c r="B37" s="582" t="s">
        <v>55</v>
      </c>
      <c r="C37" s="583"/>
      <c r="D37" s="586" t="s">
        <v>6666</v>
      </c>
      <c r="E37" s="587"/>
      <c r="F37" s="587"/>
      <c r="G37" s="587"/>
      <c r="H37" s="587"/>
      <c r="I37" s="587"/>
      <c r="J37" s="147"/>
      <c r="K37" s="588" t="s">
        <v>55</v>
      </c>
      <c r="L37" s="583"/>
      <c r="M37" s="586" t="s">
        <v>6667</v>
      </c>
      <c r="N37" s="587"/>
      <c r="O37" s="587"/>
      <c r="P37" s="590"/>
    </row>
    <row r="38" spans="1:16" ht="16.2" thickBot="1">
      <c r="B38" s="584"/>
      <c r="C38" s="585"/>
      <c r="D38" s="586" t="s">
        <v>1703</v>
      </c>
      <c r="E38" s="587"/>
      <c r="F38" s="590"/>
      <c r="G38" s="586" t="s">
        <v>1704</v>
      </c>
      <c r="H38" s="587"/>
      <c r="I38" s="587"/>
      <c r="J38" s="147"/>
      <c r="K38" s="589"/>
      <c r="L38" s="585"/>
      <c r="M38" s="586" t="s">
        <v>1703</v>
      </c>
      <c r="N38" s="590"/>
      <c r="O38" s="586" t="s">
        <v>1704</v>
      </c>
      <c r="P38" s="590"/>
    </row>
    <row r="39" spans="1:16" ht="16.2" thickBot="1">
      <c r="B39" s="138"/>
      <c r="C39" s="367" t="s">
        <v>6868</v>
      </c>
      <c r="D39" s="139" t="s">
        <v>1705</v>
      </c>
      <c r="E39" s="139" t="s">
        <v>6867</v>
      </c>
      <c r="F39" s="139" t="s">
        <v>1706</v>
      </c>
      <c r="G39" s="139" t="s">
        <v>1705</v>
      </c>
      <c r="H39" s="139" t="s">
        <v>6867</v>
      </c>
      <c r="I39" s="137" t="s">
        <v>1706</v>
      </c>
      <c r="J39" s="147"/>
      <c r="K39" s="139"/>
      <c r="L39" s="367" t="s">
        <v>6868</v>
      </c>
      <c r="M39" s="139" t="s">
        <v>1705</v>
      </c>
      <c r="N39" s="139" t="s">
        <v>1706</v>
      </c>
      <c r="O39" s="139" t="s">
        <v>1705</v>
      </c>
      <c r="P39" s="139" t="s">
        <v>1706</v>
      </c>
    </row>
    <row r="40" spans="1:16" ht="16.2" thickBot="1">
      <c r="B40" s="140" t="s">
        <v>1707</v>
      </c>
      <c r="C40" s="141">
        <v>5</v>
      </c>
      <c r="D40" s="142" t="s">
        <v>1708</v>
      </c>
      <c r="E40" s="141" t="s">
        <v>1709</v>
      </c>
      <c r="F40" s="142" t="s">
        <v>1710</v>
      </c>
      <c r="G40" s="142" t="s">
        <v>1711</v>
      </c>
      <c r="H40" s="141" t="s">
        <v>1712</v>
      </c>
      <c r="I40" s="145" t="s">
        <v>1713</v>
      </c>
      <c r="J40" s="148"/>
      <c r="K40" s="143" t="s">
        <v>1707</v>
      </c>
      <c r="L40" s="141" t="s">
        <v>1714</v>
      </c>
      <c r="M40" s="142" t="s">
        <v>1708</v>
      </c>
      <c r="N40" s="141" t="s">
        <v>1715</v>
      </c>
      <c r="O40" s="141" t="s">
        <v>1714</v>
      </c>
      <c r="P40" s="141" t="s">
        <v>1714</v>
      </c>
    </row>
    <row r="41" spans="1:16" ht="16.2" thickBot="1">
      <c r="B41" s="140" t="s">
        <v>1716</v>
      </c>
      <c r="C41" s="141" t="s">
        <v>1714</v>
      </c>
      <c r="D41" s="142" t="s">
        <v>1717</v>
      </c>
      <c r="E41" s="141" t="s">
        <v>1718</v>
      </c>
      <c r="F41" s="142" t="s">
        <v>1719</v>
      </c>
      <c r="G41" s="141" t="s">
        <v>1714</v>
      </c>
      <c r="H41" s="141" t="s">
        <v>1714</v>
      </c>
      <c r="I41" s="146" t="s">
        <v>1714</v>
      </c>
      <c r="J41" s="149"/>
      <c r="K41" s="143" t="s">
        <v>1716</v>
      </c>
      <c r="L41" s="141" t="s">
        <v>1714</v>
      </c>
      <c r="M41" s="141" t="s">
        <v>1714</v>
      </c>
      <c r="N41" s="141" t="s">
        <v>1714</v>
      </c>
      <c r="O41" s="141" t="s">
        <v>1714</v>
      </c>
      <c r="P41" s="141" t="s">
        <v>1714</v>
      </c>
    </row>
    <row r="42" spans="1:16" ht="24.6" thickBot="1">
      <c r="B42" s="140" t="s">
        <v>1720</v>
      </c>
      <c r="C42" s="141">
        <v>5</v>
      </c>
      <c r="D42" s="141" t="s">
        <v>1714</v>
      </c>
      <c r="E42" s="141" t="s">
        <v>1714</v>
      </c>
      <c r="F42" s="141" t="s">
        <v>1714</v>
      </c>
      <c r="G42" s="142" t="s">
        <v>1721</v>
      </c>
      <c r="H42" s="141" t="s">
        <v>1714</v>
      </c>
      <c r="I42" s="145" t="s">
        <v>1722</v>
      </c>
      <c r="J42" s="148"/>
      <c r="K42" s="143" t="s">
        <v>1720</v>
      </c>
      <c r="L42" s="141">
        <v>5</v>
      </c>
      <c r="M42" s="141" t="s">
        <v>1714</v>
      </c>
      <c r="N42" s="141" t="s">
        <v>1714</v>
      </c>
      <c r="O42" s="142" t="s">
        <v>1721</v>
      </c>
      <c r="P42" s="141" t="s">
        <v>6717</v>
      </c>
    </row>
    <row r="43" spans="1:16" ht="16.2" thickBot="1">
      <c r="B43" s="144"/>
      <c r="I43" s="318"/>
      <c r="J43" s="319"/>
      <c r="K43" s="318"/>
    </row>
    <row r="44" spans="1:16" ht="16.2" thickBot="1">
      <c r="B44" s="582" t="s">
        <v>6668</v>
      </c>
      <c r="C44" s="583"/>
      <c r="D44" s="586" t="s">
        <v>6666</v>
      </c>
      <c r="E44" s="587"/>
      <c r="F44" s="587"/>
      <c r="G44" s="587"/>
      <c r="H44" s="587"/>
      <c r="I44" s="587"/>
      <c r="J44" s="147"/>
      <c r="K44" s="588" t="s">
        <v>6668</v>
      </c>
      <c r="L44" s="583"/>
      <c r="M44" s="586" t="s">
        <v>6667</v>
      </c>
      <c r="N44" s="587"/>
      <c r="O44" s="587"/>
      <c r="P44" s="590"/>
    </row>
    <row r="45" spans="1:16" ht="16.2" thickBot="1">
      <c r="B45" s="584"/>
      <c r="C45" s="585"/>
      <c r="D45" s="586" t="s">
        <v>1703</v>
      </c>
      <c r="E45" s="587"/>
      <c r="F45" s="590"/>
      <c r="G45" s="586" t="s">
        <v>1704</v>
      </c>
      <c r="H45" s="587"/>
      <c r="I45" s="587"/>
      <c r="J45" s="147"/>
      <c r="K45" s="589"/>
      <c r="L45" s="585"/>
      <c r="M45" s="586" t="s">
        <v>1703</v>
      </c>
      <c r="N45" s="590"/>
      <c r="O45" s="586" t="s">
        <v>1704</v>
      </c>
      <c r="P45" s="590"/>
    </row>
    <row r="46" spans="1:16" ht="16.2" thickBot="1">
      <c r="B46" s="138"/>
      <c r="C46" s="367" t="s">
        <v>6868</v>
      </c>
      <c r="D46" s="139" t="s">
        <v>1705</v>
      </c>
      <c r="E46" s="139" t="s">
        <v>6664</v>
      </c>
      <c r="F46" s="139" t="s">
        <v>1706</v>
      </c>
      <c r="G46" s="139" t="s">
        <v>1705</v>
      </c>
      <c r="H46" s="139" t="s">
        <v>6664</v>
      </c>
      <c r="I46" s="137" t="s">
        <v>1706</v>
      </c>
      <c r="J46" s="147"/>
      <c r="K46" s="139"/>
      <c r="L46" s="367" t="s">
        <v>6868</v>
      </c>
      <c r="M46" s="139" t="s">
        <v>1705</v>
      </c>
      <c r="N46" s="139" t="s">
        <v>1706</v>
      </c>
      <c r="O46" s="139" t="s">
        <v>1705</v>
      </c>
      <c r="P46" s="139" t="s">
        <v>1706</v>
      </c>
    </row>
    <row r="47" spans="1:16" ht="16.2" thickBot="1">
      <c r="B47" s="140" t="s">
        <v>1723</v>
      </c>
      <c r="C47" s="141">
        <v>30</v>
      </c>
      <c r="D47" s="142" t="s">
        <v>1724</v>
      </c>
      <c r="E47" s="141">
        <v>8</v>
      </c>
      <c r="F47" s="142" t="s">
        <v>1725</v>
      </c>
      <c r="G47" s="142" t="s">
        <v>1726</v>
      </c>
      <c r="H47" s="141" t="s">
        <v>1727</v>
      </c>
      <c r="I47" s="145" t="s">
        <v>1728</v>
      </c>
      <c r="J47" s="148"/>
      <c r="K47" s="143" t="s">
        <v>1723</v>
      </c>
      <c r="L47" s="141">
        <v>30</v>
      </c>
      <c r="M47" s="142" t="s">
        <v>1729</v>
      </c>
      <c r="N47" s="141" t="s">
        <v>1730</v>
      </c>
      <c r="O47" s="142" t="s">
        <v>1734</v>
      </c>
      <c r="P47" s="141" t="s">
        <v>1750</v>
      </c>
    </row>
    <row r="48" spans="1:16" ht="16.2" thickBot="1">
      <c r="B48" s="140" t="s">
        <v>70</v>
      </c>
      <c r="C48" s="141">
        <v>30</v>
      </c>
      <c r="D48" s="142" t="s">
        <v>1729</v>
      </c>
      <c r="E48" s="141">
        <v>2</v>
      </c>
      <c r="F48" s="142" t="s">
        <v>1733</v>
      </c>
      <c r="G48" s="142" t="s">
        <v>1734</v>
      </c>
      <c r="H48" s="141" t="s">
        <v>1735</v>
      </c>
      <c r="I48" s="145" t="s">
        <v>1736</v>
      </c>
      <c r="J48" s="148"/>
      <c r="K48" s="143" t="s">
        <v>70</v>
      </c>
      <c r="L48" s="141">
        <v>5</v>
      </c>
      <c r="M48" s="142" t="s">
        <v>1729</v>
      </c>
      <c r="N48" s="141" t="s">
        <v>1737</v>
      </c>
      <c r="O48" s="142" t="s">
        <v>1731</v>
      </c>
      <c r="P48" s="141" t="s">
        <v>1732</v>
      </c>
    </row>
    <row r="49" spans="2:16" ht="16.2" thickBot="1">
      <c r="B49" s="140" t="s">
        <v>69</v>
      </c>
      <c r="C49" s="141">
        <v>30</v>
      </c>
      <c r="D49" s="142" t="s">
        <v>1729</v>
      </c>
      <c r="E49" s="141">
        <v>2</v>
      </c>
      <c r="F49" s="142" t="s">
        <v>1733</v>
      </c>
      <c r="G49" s="142" t="s">
        <v>1738</v>
      </c>
      <c r="H49" s="141" t="s">
        <v>1739</v>
      </c>
      <c r="I49" s="145" t="s">
        <v>1740</v>
      </c>
      <c r="J49" s="148"/>
      <c r="K49" s="143" t="s">
        <v>69</v>
      </c>
      <c r="L49" s="141">
        <v>30</v>
      </c>
      <c r="M49" s="142" t="s">
        <v>1729</v>
      </c>
      <c r="N49" s="141" t="s">
        <v>1737</v>
      </c>
      <c r="O49" s="142" t="s">
        <v>1741</v>
      </c>
      <c r="P49" s="141" t="s">
        <v>1742</v>
      </c>
    </row>
    <row r="50" spans="2:16" ht="16.2" thickBot="1">
      <c r="B50" s="140" t="s">
        <v>1743</v>
      </c>
      <c r="C50" s="141">
        <v>30</v>
      </c>
      <c r="D50" s="142" t="s">
        <v>1724</v>
      </c>
      <c r="E50" s="141">
        <v>8</v>
      </c>
      <c r="F50" s="142" t="s">
        <v>1725</v>
      </c>
      <c r="G50" s="142" t="s">
        <v>1726</v>
      </c>
      <c r="H50" s="141" t="s">
        <v>1727</v>
      </c>
      <c r="I50" s="145" t="s">
        <v>1728</v>
      </c>
      <c r="J50" s="148"/>
      <c r="K50" s="143" t="s">
        <v>1743</v>
      </c>
      <c r="L50" s="141">
        <v>10</v>
      </c>
      <c r="M50" s="142" t="s">
        <v>1729</v>
      </c>
      <c r="N50" s="141" t="s">
        <v>1730</v>
      </c>
      <c r="O50" s="142" t="s">
        <v>1744</v>
      </c>
      <c r="P50" s="141" t="s">
        <v>1745</v>
      </c>
    </row>
    <row r="51" spans="2:16" ht="16.2" thickBot="1">
      <c r="B51" s="140" t="s">
        <v>71</v>
      </c>
      <c r="C51" s="141">
        <v>30</v>
      </c>
      <c r="D51" s="142" t="s">
        <v>1746</v>
      </c>
      <c r="E51" s="160" t="s">
        <v>6663</v>
      </c>
      <c r="F51" s="142" t="s">
        <v>1725</v>
      </c>
      <c r="G51" s="142" t="s">
        <v>1741</v>
      </c>
      <c r="H51" s="141" t="s">
        <v>1747</v>
      </c>
      <c r="I51" s="145" t="s">
        <v>1748</v>
      </c>
      <c r="J51" s="148"/>
      <c r="K51" s="143" t="s">
        <v>71</v>
      </c>
      <c r="L51" s="141">
        <v>30</v>
      </c>
      <c r="M51" s="142" t="s">
        <v>1729</v>
      </c>
      <c r="N51" s="141" t="s">
        <v>1730</v>
      </c>
      <c r="O51" s="142" t="s">
        <v>1749</v>
      </c>
      <c r="P51" s="141" t="s">
        <v>6717</v>
      </c>
    </row>
    <row r="52" spans="2:16" ht="16.2" thickBot="1">
      <c r="B52" s="140" t="s">
        <v>79</v>
      </c>
      <c r="C52" s="141">
        <v>10</v>
      </c>
      <c r="D52" s="142" t="s">
        <v>1729</v>
      </c>
      <c r="E52" s="141">
        <v>2</v>
      </c>
      <c r="F52" s="142" t="s">
        <v>1733</v>
      </c>
      <c r="G52" s="142" t="s">
        <v>1738</v>
      </c>
      <c r="H52" s="141" t="s">
        <v>1739</v>
      </c>
      <c r="I52" s="145" t="s">
        <v>1740</v>
      </c>
      <c r="J52" s="148"/>
      <c r="K52" s="143" t="s">
        <v>79</v>
      </c>
      <c r="L52" s="141">
        <v>10</v>
      </c>
      <c r="M52" s="142" t="s">
        <v>1746</v>
      </c>
      <c r="N52" s="141" t="s">
        <v>1730</v>
      </c>
      <c r="O52" s="142" t="s">
        <v>1744</v>
      </c>
      <c r="P52" s="141" t="s">
        <v>1732</v>
      </c>
    </row>
    <row r="53" spans="2:16" ht="16.2" thickBot="1">
      <c r="B53" s="140" t="s">
        <v>77</v>
      </c>
      <c r="C53" s="141">
        <v>10</v>
      </c>
      <c r="D53" s="142" t="s">
        <v>1729</v>
      </c>
      <c r="E53" s="141">
        <v>2</v>
      </c>
      <c r="F53" s="142" t="s">
        <v>1733</v>
      </c>
      <c r="G53" s="142" t="s">
        <v>1738</v>
      </c>
      <c r="H53" s="141" t="s">
        <v>1739</v>
      </c>
      <c r="I53" s="145" t="s">
        <v>1740</v>
      </c>
      <c r="J53" s="148"/>
      <c r="K53" s="143" t="s">
        <v>77</v>
      </c>
      <c r="L53" s="141">
        <v>10</v>
      </c>
      <c r="M53" s="142" t="s">
        <v>1746</v>
      </c>
      <c r="N53" s="141" t="s">
        <v>1751</v>
      </c>
      <c r="O53" s="142" t="s">
        <v>1744</v>
      </c>
      <c r="P53" s="141" t="s">
        <v>1752</v>
      </c>
    </row>
    <row r="54" spans="2:16" ht="16.2" thickBot="1">
      <c r="B54" s="140" t="s">
        <v>1753</v>
      </c>
      <c r="C54" s="141">
        <v>10</v>
      </c>
      <c r="D54" s="142" t="s">
        <v>1729</v>
      </c>
      <c r="E54" s="141">
        <v>2</v>
      </c>
      <c r="F54" s="142" t="s">
        <v>1733</v>
      </c>
      <c r="G54" s="142" t="s">
        <v>1738</v>
      </c>
      <c r="H54" s="141" t="s">
        <v>1739</v>
      </c>
      <c r="I54" s="145" t="s">
        <v>1740</v>
      </c>
      <c r="J54" s="148"/>
      <c r="K54" s="143" t="s">
        <v>1753</v>
      </c>
      <c r="L54" s="141" t="s">
        <v>1714</v>
      </c>
      <c r="M54" s="141" t="s">
        <v>1714</v>
      </c>
      <c r="N54" s="141" t="s">
        <v>1714</v>
      </c>
      <c r="O54" s="141" t="s">
        <v>1714</v>
      </c>
      <c r="P54" s="141" t="s">
        <v>1714</v>
      </c>
    </row>
    <row r="55" spans="2:16" ht="16.2" thickBot="1">
      <c r="B55" s="140" t="s">
        <v>78</v>
      </c>
      <c r="C55" s="141">
        <v>10</v>
      </c>
      <c r="D55" s="142" t="s">
        <v>1754</v>
      </c>
      <c r="E55" s="141">
        <v>1</v>
      </c>
      <c r="F55" s="142" t="s">
        <v>1719</v>
      </c>
      <c r="G55" s="142" t="s">
        <v>1744</v>
      </c>
      <c r="H55" s="141" t="s">
        <v>1755</v>
      </c>
      <c r="I55" s="145" t="s">
        <v>1748</v>
      </c>
      <c r="J55" s="148"/>
      <c r="K55" s="143" t="s">
        <v>78</v>
      </c>
      <c r="L55" s="141">
        <v>10</v>
      </c>
      <c r="M55" s="142" t="s">
        <v>1754</v>
      </c>
      <c r="N55" s="141" t="s">
        <v>1756</v>
      </c>
      <c r="O55" s="142" t="s">
        <v>1741</v>
      </c>
      <c r="P55" s="141" t="s">
        <v>1757</v>
      </c>
    </row>
    <row r="56" spans="2:16" ht="16.2" thickBot="1">
      <c r="B56" s="368" t="s">
        <v>6665</v>
      </c>
      <c r="I56" s="318"/>
      <c r="J56" s="319"/>
      <c r="K56" s="318"/>
    </row>
    <row r="57" spans="2:16" ht="16.2" thickBot="1">
      <c r="B57" s="582" t="s">
        <v>1758</v>
      </c>
      <c r="C57" s="583"/>
      <c r="D57" s="586" t="s">
        <v>6666</v>
      </c>
      <c r="E57" s="587"/>
      <c r="F57" s="587"/>
      <c r="G57" s="587"/>
      <c r="H57" s="587"/>
      <c r="I57" s="587"/>
      <c r="J57" s="147"/>
      <c r="K57" s="588" t="s">
        <v>1758</v>
      </c>
      <c r="L57" s="583"/>
      <c r="M57" s="586" t="s">
        <v>6667</v>
      </c>
      <c r="N57" s="587"/>
      <c r="O57" s="587"/>
      <c r="P57" s="590"/>
    </row>
    <row r="58" spans="2:16" ht="16.2" thickBot="1">
      <c r="B58" s="584"/>
      <c r="C58" s="585"/>
      <c r="D58" s="586" t="s">
        <v>1703</v>
      </c>
      <c r="E58" s="587"/>
      <c r="F58" s="590"/>
      <c r="G58" s="586" t="s">
        <v>1704</v>
      </c>
      <c r="H58" s="587"/>
      <c r="I58" s="587"/>
      <c r="J58" s="147"/>
      <c r="K58" s="589"/>
      <c r="L58" s="585"/>
      <c r="M58" s="586" t="s">
        <v>1703</v>
      </c>
      <c r="N58" s="590"/>
      <c r="O58" s="586" t="s">
        <v>1704</v>
      </c>
      <c r="P58" s="590"/>
    </row>
    <row r="59" spans="2:16" ht="16.2" thickBot="1">
      <c r="B59" s="138"/>
      <c r="C59" s="367" t="s">
        <v>6868</v>
      </c>
      <c r="D59" s="139" t="s">
        <v>1705</v>
      </c>
      <c r="E59" s="139" t="s">
        <v>6867</v>
      </c>
      <c r="F59" s="139" t="s">
        <v>1706</v>
      </c>
      <c r="G59" s="139" t="s">
        <v>1705</v>
      </c>
      <c r="H59" s="139" t="s">
        <v>6867</v>
      </c>
      <c r="I59" s="137" t="s">
        <v>1706</v>
      </c>
      <c r="J59" s="147"/>
      <c r="K59" s="139"/>
      <c r="L59" s="367" t="s">
        <v>6868</v>
      </c>
      <c r="M59" s="139" t="s">
        <v>1705</v>
      </c>
      <c r="N59" s="139" t="s">
        <v>1706</v>
      </c>
      <c r="O59" s="139" t="s">
        <v>1705</v>
      </c>
      <c r="P59" s="139" t="s">
        <v>1706</v>
      </c>
    </row>
    <row r="60" spans="2:16" ht="16.2" thickBot="1">
      <c r="B60" s="140" t="s">
        <v>79</v>
      </c>
      <c r="C60" s="141">
        <v>10</v>
      </c>
      <c r="D60" s="142" t="s">
        <v>1746</v>
      </c>
      <c r="E60" s="141">
        <v>4</v>
      </c>
      <c r="F60" s="142" t="s">
        <v>1759</v>
      </c>
      <c r="G60" s="142" t="s">
        <v>1744</v>
      </c>
      <c r="H60" s="141" t="s">
        <v>1755</v>
      </c>
      <c r="I60" s="145" t="s">
        <v>1748</v>
      </c>
      <c r="J60" s="148"/>
      <c r="K60" s="143" t="s">
        <v>79</v>
      </c>
      <c r="L60" s="141">
        <v>10</v>
      </c>
      <c r="M60" s="142" t="s">
        <v>1746</v>
      </c>
      <c r="N60" s="141" t="s">
        <v>1730</v>
      </c>
      <c r="O60" s="142" t="s">
        <v>1721</v>
      </c>
      <c r="P60" s="141" t="s">
        <v>1750</v>
      </c>
    </row>
    <row r="61" spans="2:16" ht="16.2" thickBot="1">
      <c r="B61" s="140" t="s">
        <v>77</v>
      </c>
      <c r="C61" s="141">
        <v>10</v>
      </c>
      <c r="D61" s="142" t="s">
        <v>1746</v>
      </c>
      <c r="E61" s="141">
        <v>4</v>
      </c>
      <c r="F61" s="142" t="s">
        <v>1759</v>
      </c>
      <c r="G61" s="142" t="s">
        <v>1760</v>
      </c>
      <c r="H61" s="141" t="s">
        <v>1761</v>
      </c>
      <c r="I61" s="145" t="s">
        <v>1762</v>
      </c>
      <c r="J61" s="148"/>
      <c r="K61" s="143" t="s">
        <v>77</v>
      </c>
      <c r="L61" s="141">
        <v>10</v>
      </c>
      <c r="M61" s="142" t="s">
        <v>1746</v>
      </c>
      <c r="N61" s="141" t="s">
        <v>1751</v>
      </c>
      <c r="O61" s="142" t="s">
        <v>1726</v>
      </c>
      <c r="P61" s="141" t="s">
        <v>1763</v>
      </c>
    </row>
    <row r="62" spans="2:16" ht="16.2" thickBot="1">
      <c r="B62" s="140" t="s">
        <v>1753</v>
      </c>
      <c r="C62" s="141">
        <v>10</v>
      </c>
      <c r="D62" s="142" t="s">
        <v>1746</v>
      </c>
      <c r="E62" s="141">
        <v>4</v>
      </c>
      <c r="F62" s="142" t="s">
        <v>1759</v>
      </c>
      <c r="G62" s="142" t="s">
        <v>1760</v>
      </c>
      <c r="H62" s="141" t="s">
        <v>1761</v>
      </c>
      <c r="I62" s="145" t="s">
        <v>1762</v>
      </c>
      <c r="J62" s="148"/>
      <c r="K62" s="143" t="s">
        <v>1753</v>
      </c>
      <c r="L62" s="141" t="s">
        <v>1714</v>
      </c>
      <c r="M62" s="141" t="s">
        <v>1714</v>
      </c>
      <c r="N62" s="141" t="s">
        <v>1714</v>
      </c>
      <c r="O62" s="141" t="s">
        <v>1714</v>
      </c>
      <c r="P62" s="141" t="s">
        <v>1714</v>
      </c>
    </row>
    <row r="63" spans="2:16" ht="16.2" thickBot="1">
      <c r="B63" s="368"/>
      <c r="I63" s="318"/>
      <c r="J63" s="319"/>
      <c r="K63" s="318"/>
    </row>
    <row r="64" spans="2:16" ht="16.2" thickBot="1">
      <c r="B64" s="582" t="s">
        <v>180</v>
      </c>
      <c r="C64" s="583"/>
      <c r="D64" s="586" t="s">
        <v>6666</v>
      </c>
      <c r="E64" s="587"/>
      <c r="F64" s="587"/>
      <c r="G64" s="587"/>
      <c r="H64" s="587"/>
      <c r="I64" s="587"/>
      <c r="J64" s="147"/>
      <c r="K64" s="588" t="s">
        <v>180</v>
      </c>
      <c r="L64" s="583"/>
      <c r="M64" s="586" t="s">
        <v>1702</v>
      </c>
      <c r="N64" s="587"/>
      <c r="O64" s="587"/>
      <c r="P64" s="590"/>
    </row>
    <row r="65" spans="2:16" ht="16.2" thickBot="1">
      <c r="B65" s="584"/>
      <c r="C65" s="585"/>
      <c r="D65" s="586" t="s">
        <v>1703</v>
      </c>
      <c r="E65" s="587"/>
      <c r="F65" s="590"/>
      <c r="G65" s="586" t="s">
        <v>1704</v>
      </c>
      <c r="H65" s="587"/>
      <c r="I65" s="587"/>
      <c r="J65" s="147"/>
      <c r="K65" s="589"/>
      <c r="L65" s="585"/>
      <c r="M65" s="586" t="s">
        <v>1703</v>
      </c>
      <c r="N65" s="590"/>
      <c r="O65" s="586" t="s">
        <v>1704</v>
      </c>
      <c r="P65" s="590"/>
    </row>
    <row r="66" spans="2:16" ht="16.2" thickBot="1">
      <c r="B66" s="138"/>
      <c r="C66" s="367" t="s">
        <v>6868</v>
      </c>
      <c r="D66" s="139" t="s">
        <v>1705</v>
      </c>
      <c r="E66" s="139" t="s">
        <v>6867</v>
      </c>
      <c r="F66" s="139" t="s">
        <v>1706</v>
      </c>
      <c r="G66" s="139" t="s">
        <v>1705</v>
      </c>
      <c r="H66" s="139" t="s">
        <v>6867</v>
      </c>
      <c r="I66" s="137" t="s">
        <v>1706</v>
      </c>
      <c r="J66" s="147"/>
      <c r="K66" s="139"/>
      <c r="L66" s="367" t="s">
        <v>6868</v>
      </c>
      <c r="M66" s="139" t="s">
        <v>1705</v>
      </c>
      <c r="N66" s="139" t="s">
        <v>1706</v>
      </c>
      <c r="O66" s="139" t="s">
        <v>1705</v>
      </c>
      <c r="P66" s="139" t="s">
        <v>1706</v>
      </c>
    </row>
    <row r="67" spans="2:16" ht="16.2" thickBot="1">
      <c r="B67" s="140" t="s">
        <v>1723</v>
      </c>
      <c r="C67" s="141">
        <v>30</v>
      </c>
      <c r="D67" s="142" t="s">
        <v>1764</v>
      </c>
      <c r="E67" s="141">
        <v>16</v>
      </c>
      <c r="F67" s="142" t="s">
        <v>1765</v>
      </c>
      <c r="G67" s="142" t="s">
        <v>1744</v>
      </c>
      <c r="H67" s="141" t="s">
        <v>1766</v>
      </c>
      <c r="I67" s="145" t="s">
        <v>1767</v>
      </c>
      <c r="J67" s="148"/>
      <c r="K67" s="143" t="s">
        <v>1723</v>
      </c>
      <c r="L67" s="141">
        <v>30</v>
      </c>
      <c r="M67" s="142" t="s">
        <v>1768</v>
      </c>
      <c r="N67" s="141" t="s">
        <v>1769</v>
      </c>
      <c r="O67" s="142" t="s">
        <v>1760</v>
      </c>
      <c r="P67" s="141" t="s">
        <v>1770</v>
      </c>
    </row>
    <row r="68" spans="2:16" ht="16.2" thickBot="1">
      <c r="B68" s="140" t="s">
        <v>1771</v>
      </c>
      <c r="C68" s="141">
        <v>100</v>
      </c>
      <c r="D68" s="142" t="s">
        <v>1768</v>
      </c>
      <c r="E68" s="141" t="s">
        <v>1772</v>
      </c>
      <c r="F68" s="142" t="s">
        <v>1773</v>
      </c>
      <c r="G68" s="142" t="s">
        <v>1726</v>
      </c>
      <c r="H68" s="141" t="s">
        <v>1774</v>
      </c>
      <c r="I68" s="145" t="s">
        <v>1762</v>
      </c>
      <c r="J68" s="148"/>
      <c r="K68" s="143" t="s">
        <v>1771</v>
      </c>
      <c r="L68" s="141">
        <v>30</v>
      </c>
      <c r="M68" s="142" t="s">
        <v>1768</v>
      </c>
      <c r="N68" s="141" t="s">
        <v>1769</v>
      </c>
      <c r="O68" s="142" t="s">
        <v>1760</v>
      </c>
      <c r="P68" s="141" t="s">
        <v>1770</v>
      </c>
    </row>
    <row r="69" spans="2:16" ht="16.2" thickBot="1">
      <c r="B69" s="140" t="s">
        <v>1775</v>
      </c>
      <c r="C69" s="141" t="s">
        <v>1776</v>
      </c>
      <c r="D69" s="142" t="s">
        <v>1768</v>
      </c>
      <c r="E69" s="141" t="s">
        <v>1772</v>
      </c>
      <c r="F69" s="142" t="s">
        <v>1773</v>
      </c>
      <c r="G69" s="142" t="s">
        <v>1726</v>
      </c>
      <c r="H69" s="141" t="s">
        <v>1774</v>
      </c>
      <c r="I69" s="145" t="s">
        <v>1762</v>
      </c>
      <c r="J69" s="148"/>
      <c r="K69" s="143" t="s">
        <v>1775</v>
      </c>
      <c r="L69" s="141" t="s">
        <v>1777</v>
      </c>
      <c r="M69" s="142" t="s">
        <v>1768</v>
      </c>
      <c r="N69" s="141" t="s">
        <v>1769</v>
      </c>
      <c r="O69" s="142" t="s">
        <v>1760</v>
      </c>
      <c r="P69" s="141" t="s">
        <v>1770</v>
      </c>
    </row>
    <row r="70" spans="2:16" ht="16.2" thickBot="1">
      <c r="B70" s="140" t="s">
        <v>1778</v>
      </c>
      <c r="C70" s="141" t="s">
        <v>1779</v>
      </c>
      <c r="D70" s="142" t="s">
        <v>1768</v>
      </c>
      <c r="E70" s="141" t="s">
        <v>1772</v>
      </c>
      <c r="F70" s="142" t="s">
        <v>1773</v>
      </c>
      <c r="G70" s="142" t="s">
        <v>1721</v>
      </c>
      <c r="H70" s="141" t="s">
        <v>1780</v>
      </c>
      <c r="I70" s="145" t="s">
        <v>1767</v>
      </c>
      <c r="J70" s="148"/>
      <c r="K70" s="143" t="s">
        <v>1778</v>
      </c>
      <c r="L70" s="141" t="s">
        <v>1779</v>
      </c>
      <c r="M70" s="142" t="s">
        <v>1768</v>
      </c>
      <c r="N70" s="141" t="s">
        <v>1769</v>
      </c>
      <c r="O70" s="142" t="s">
        <v>1760</v>
      </c>
      <c r="P70" s="141" t="s">
        <v>1770</v>
      </c>
    </row>
    <row r="71" spans="2:16" ht="16.2" thickBot="1">
      <c r="B71" s="140" t="s">
        <v>71</v>
      </c>
      <c r="C71" s="141">
        <v>30</v>
      </c>
      <c r="D71" s="142" t="s">
        <v>1764</v>
      </c>
      <c r="E71" s="141">
        <v>16</v>
      </c>
      <c r="F71" s="142" t="s">
        <v>1765</v>
      </c>
      <c r="G71" s="142" t="s">
        <v>1760</v>
      </c>
      <c r="H71" s="141" t="s">
        <v>1761</v>
      </c>
      <c r="I71" s="145" t="s">
        <v>1762</v>
      </c>
      <c r="J71" s="148"/>
      <c r="K71" s="143" t="s">
        <v>71</v>
      </c>
      <c r="L71" s="141">
        <v>30</v>
      </c>
      <c r="M71" s="142" t="s">
        <v>1764</v>
      </c>
      <c r="N71" s="141" t="s">
        <v>1751</v>
      </c>
      <c r="O71" s="142" t="s">
        <v>1726</v>
      </c>
      <c r="P71" s="141" t="s">
        <v>1750</v>
      </c>
    </row>
    <row r="72" spans="2:16" ht="16.2" thickBot="1">
      <c r="B72" s="140" t="s">
        <v>79</v>
      </c>
      <c r="C72" s="141">
        <v>10</v>
      </c>
      <c r="D72" s="142" t="s">
        <v>1746</v>
      </c>
      <c r="E72" s="141">
        <v>4</v>
      </c>
      <c r="F72" s="142" t="s">
        <v>1759</v>
      </c>
      <c r="G72" s="142" t="s">
        <v>1781</v>
      </c>
      <c r="H72" s="141" t="s">
        <v>1782</v>
      </c>
      <c r="I72" s="145" t="s">
        <v>1767</v>
      </c>
      <c r="J72" s="148"/>
      <c r="K72" s="143" t="s">
        <v>79</v>
      </c>
      <c r="L72" s="141">
        <v>10</v>
      </c>
      <c r="M72" s="142" t="s">
        <v>1724</v>
      </c>
      <c r="N72" s="141" t="s">
        <v>1730</v>
      </c>
      <c r="O72" s="142" t="s">
        <v>1731</v>
      </c>
      <c r="P72" s="141" t="s">
        <v>1783</v>
      </c>
    </row>
    <row r="73" spans="2:16" ht="16.2" thickBot="1">
      <c r="B73" s="140" t="s">
        <v>77</v>
      </c>
      <c r="C73" s="141">
        <v>10</v>
      </c>
      <c r="D73" s="142" t="s">
        <v>1746</v>
      </c>
      <c r="E73" s="141">
        <v>4</v>
      </c>
      <c r="F73" s="142" t="s">
        <v>1759</v>
      </c>
      <c r="G73" s="142" t="s">
        <v>1781</v>
      </c>
      <c r="H73" s="141" t="s">
        <v>1782</v>
      </c>
      <c r="I73" s="145" t="s">
        <v>1767</v>
      </c>
      <c r="J73" s="148"/>
      <c r="K73" s="143" t="s">
        <v>77</v>
      </c>
      <c r="L73" s="141">
        <v>10</v>
      </c>
      <c r="M73" s="142" t="s">
        <v>1746</v>
      </c>
      <c r="N73" s="141" t="s">
        <v>1751</v>
      </c>
      <c r="O73" s="142" t="s">
        <v>1721</v>
      </c>
      <c r="P73" s="141" t="s">
        <v>1770</v>
      </c>
    </row>
    <row r="74" spans="2:16" ht="16.2" thickBot="1">
      <c r="B74" s="140" t="s">
        <v>1753</v>
      </c>
      <c r="C74" s="141">
        <v>10</v>
      </c>
      <c r="D74" s="142" t="s">
        <v>1746</v>
      </c>
      <c r="E74" s="141">
        <v>4</v>
      </c>
      <c r="F74" s="142" t="s">
        <v>1759</v>
      </c>
      <c r="G74" s="142" t="s">
        <v>1781</v>
      </c>
      <c r="H74" s="141" t="s">
        <v>1782</v>
      </c>
      <c r="I74" s="145" t="s">
        <v>1767</v>
      </c>
      <c r="J74" s="148"/>
      <c r="K74" s="143" t="s">
        <v>1753</v>
      </c>
      <c r="L74" s="141" t="s">
        <v>1714</v>
      </c>
      <c r="M74" s="141" t="s">
        <v>1714</v>
      </c>
      <c r="N74" s="141" t="s">
        <v>1714</v>
      </c>
      <c r="O74" s="141" t="s">
        <v>1714</v>
      </c>
      <c r="P74" s="141" t="s">
        <v>1714</v>
      </c>
    </row>
    <row r="75" spans="2:16">
      <c r="B75" s="273"/>
      <c r="C75" s="274"/>
      <c r="D75" s="275"/>
      <c r="E75" s="274"/>
      <c r="F75" s="275"/>
      <c r="G75" s="275"/>
      <c r="H75" s="274"/>
      <c r="I75" s="275"/>
      <c r="J75" s="276"/>
      <c r="K75" s="273"/>
      <c r="L75" s="274"/>
      <c r="M75" s="274"/>
      <c r="N75" s="274"/>
      <c r="O75" s="274"/>
      <c r="P75" s="274"/>
    </row>
  </sheetData>
  <sheetProtection algorithmName="SHA-256" hashValue="QGXhUYDA207W9FpfldFbSSouaHAlkIWHrW4Ggeb5epw=" saltValue="41QQ49XweRbPv9ypSgtLQA==" spinCount="100000" sheet="1" objects="1" scenarios="1"/>
  <mergeCells count="32">
    <mergeCell ref="B37:C38"/>
    <mergeCell ref="D37:I37"/>
    <mergeCell ref="K37:L38"/>
    <mergeCell ref="M37:P37"/>
    <mergeCell ref="D38:F38"/>
    <mergeCell ref="G38:I38"/>
    <mergeCell ref="M38:N38"/>
    <mergeCell ref="O38:P38"/>
    <mergeCell ref="B44:C45"/>
    <mergeCell ref="D44:I44"/>
    <mergeCell ref="K44:L45"/>
    <mergeCell ref="M44:P44"/>
    <mergeCell ref="D45:F45"/>
    <mergeCell ref="G45:I45"/>
    <mergeCell ref="M45:N45"/>
    <mergeCell ref="O45:P45"/>
    <mergeCell ref="B57:C58"/>
    <mergeCell ref="D57:I57"/>
    <mergeCell ref="K57:L58"/>
    <mergeCell ref="M57:P57"/>
    <mergeCell ref="D58:F58"/>
    <mergeCell ref="G58:I58"/>
    <mergeCell ref="M58:N58"/>
    <mergeCell ref="O58:P58"/>
    <mergeCell ref="B64:C65"/>
    <mergeCell ref="D64:I64"/>
    <mergeCell ref="K64:L65"/>
    <mergeCell ref="M64:P64"/>
    <mergeCell ref="D65:F65"/>
    <mergeCell ref="G65:I65"/>
    <mergeCell ref="M65:N65"/>
    <mergeCell ref="O65:P65"/>
  </mergeCells>
  <phoneticPr fontId="46" type="noConversion"/>
  <pageMargins left="0.25" right="0.25" top="0.75000000000000011" bottom="0.75000000000000011" header="0.30000000000000004" footer="0.30000000000000004"/>
  <pageSetup paperSize="9" scale="74" fitToHeight="2" orientation="landscape" r:id="rId1"/>
  <headerFooter>
    <oddFooter>&amp;C&amp;A &amp;P</oddFooter>
  </headerFooter>
  <rowBreaks count="1" manualBreakCount="1">
    <brk id="34"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0070C0"/>
    <pageSetUpPr fitToPage="1"/>
  </sheetPr>
  <dimension ref="A1:J234"/>
  <sheetViews>
    <sheetView zoomScaleNormal="100" zoomScalePageLayoutView="80" workbookViewId="0">
      <selection activeCell="C4" sqref="C4:G4"/>
    </sheetView>
  </sheetViews>
  <sheetFormatPr defaultColWidth="10.69921875" defaultRowHeight="13.8"/>
  <cols>
    <col min="1" max="1" width="4.19921875" style="6" customWidth="1"/>
    <col min="2" max="2" width="55.69921875" style="54" customWidth="1"/>
    <col min="3" max="3" width="5.19921875" style="9" customWidth="1"/>
    <col min="4" max="4" width="9.69921875" style="4" customWidth="1"/>
    <col min="5" max="5" width="9.69921875" style="9" customWidth="1"/>
    <col min="6" max="6" width="9.69921875" style="4" customWidth="1"/>
    <col min="7" max="7" width="29.5" style="99" customWidth="1"/>
    <col min="8" max="16384" width="10.69921875" style="4"/>
  </cols>
  <sheetData>
    <row r="1" spans="1:8" ht="15.6">
      <c r="A1" s="10"/>
      <c r="B1" s="11" t="str">
        <f>Language!A299</f>
        <v>0- GENERAL INFORMATION</v>
      </c>
      <c r="C1" s="411"/>
      <c r="D1" s="99"/>
      <c r="E1" s="412"/>
      <c r="F1" s="220"/>
    </row>
    <row r="2" spans="1:8">
      <c r="A2" s="10"/>
      <c r="C2" s="7"/>
      <c r="D2" s="7"/>
      <c r="E2" s="7"/>
      <c r="F2" s="7"/>
      <c r="G2" s="7"/>
    </row>
    <row r="3" spans="1:8">
      <c r="A3" s="166"/>
      <c r="B3" s="95" t="str">
        <f>Language!A300</f>
        <v>LABORATORY DEMOGRAPHICS</v>
      </c>
      <c r="C3" s="96"/>
      <c r="D3" s="96"/>
      <c r="E3" s="96"/>
      <c r="F3" s="96"/>
      <c r="G3" s="221"/>
    </row>
    <row r="4" spans="1:8">
      <c r="A4" s="77" t="s">
        <v>11</v>
      </c>
      <c r="B4" s="54" t="str">
        <f>Language!A301</f>
        <v>Assessor 1 (name and affiliation)</v>
      </c>
      <c r="C4" s="608"/>
      <c r="D4" s="609"/>
      <c r="E4" s="609"/>
      <c r="F4" s="609"/>
      <c r="G4" s="610"/>
    </row>
    <row r="5" spans="1:8">
      <c r="A5" s="10" t="s">
        <v>12</v>
      </c>
      <c r="B5" s="54" t="str">
        <f>Language!A302</f>
        <v>Assessor 2 (name and affiliation)</v>
      </c>
      <c r="C5" s="608"/>
      <c r="D5" s="609"/>
      <c r="E5" s="609"/>
      <c r="F5" s="609"/>
      <c r="G5" s="610"/>
    </row>
    <row r="6" spans="1:8">
      <c r="A6" s="10" t="s">
        <v>13</v>
      </c>
      <c r="B6" s="54" t="str">
        <f>Language!A303</f>
        <v>Assessor 3 (name and affiliation)</v>
      </c>
      <c r="C6" s="608"/>
      <c r="D6" s="609"/>
      <c r="E6" s="609"/>
      <c r="F6" s="609"/>
      <c r="G6" s="610"/>
    </row>
    <row r="7" spans="1:8">
      <c r="A7" s="10" t="s">
        <v>14</v>
      </c>
      <c r="B7" s="54" t="str">
        <f>Language!A304</f>
        <v>Date of assessment (dd/mm/yyyy)</v>
      </c>
      <c r="C7" s="633"/>
      <c r="D7" s="634"/>
      <c r="E7" s="634"/>
      <c r="F7" s="634"/>
      <c r="G7" s="635"/>
      <c r="H7" s="217"/>
    </row>
    <row r="8" spans="1:8">
      <c r="A8" s="10" t="s">
        <v>308</v>
      </c>
      <c r="B8" s="54" t="str">
        <f>Language!A305</f>
        <v xml:space="preserve">Laboratory/Hospital name </v>
      </c>
      <c r="C8" s="608"/>
      <c r="D8" s="609"/>
      <c r="E8" s="609"/>
      <c r="F8" s="609"/>
      <c r="G8" s="610"/>
      <c r="H8" s="217"/>
    </row>
    <row r="9" spans="1:8">
      <c r="A9" s="10" t="s">
        <v>309</v>
      </c>
      <c r="B9" s="54" t="str">
        <f>Language!A306</f>
        <v>Address</v>
      </c>
      <c r="C9" s="608"/>
      <c r="D9" s="609"/>
      <c r="E9" s="609"/>
      <c r="F9" s="609"/>
      <c r="G9" s="610"/>
      <c r="H9" s="62"/>
    </row>
    <row r="10" spans="1:8">
      <c r="A10" s="10" t="s">
        <v>310</v>
      </c>
      <c r="B10" s="394" t="str">
        <f>Language!A307</f>
        <v>City</v>
      </c>
      <c r="C10" s="608"/>
      <c r="D10" s="609"/>
      <c r="E10" s="609"/>
      <c r="F10" s="609"/>
      <c r="G10" s="610"/>
    </row>
    <row r="11" spans="1:8">
      <c r="A11" s="10" t="s">
        <v>311</v>
      </c>
      <c r="B11" s="394" t="str">
        <f>Language!A308</f>
        <v>Province</v>
      </c>
      <c r="C11" s="608"/>
      <c r="D11" s="609"/>
      <c r="E11" s="609"/>
      <c r="F11" s="609"/>
      <c r="G11" s="610"/>
    </row>
    <row r="12" spans="1:8">
      <c r="A12" s="10" t="s">
        <v>312</v>
      </c>
      <c r="B12" s="394" t="str">
        <f>Language!A309</f>
        <v>District</v>
      </c>
      <c r="C12" s="608"/>
      <c r="D12" s="609"/>
      <c r="E12" s="609"/>
      <c r="F12" s="609"/>
      <c r="G12" s="610"/>
    </row>
    <row r="13" spans="1:8">
      <c r="A13" s="10" t="s">
        <v>313</v>
      </c>
      <c r="B13" s="394" t="str">
        <f>Language!A310</f>
        <v>Country</v>
      </c>
      <c r="C13" s="608"/>
      <c r="D13" s="609"/>
      <c r="E13" s="609"/>
      <c r="F13" s="609"/>
      <c r="G13" s="610"/>
      <c r="H13" s="217"/>
    </row>
    <row r="14" spans="1:8">
      <c r="A14" s="10"/>
      <c r="C14" s="67"/>
      <c r="D14" s="7"/>
      <c r="E14" s="67"/>
      <c r="F14" s="7"/>
      <c r="G14" s="7"/>
    </row>
    <row r="15" spans="1:8" ht="28.8" customHeight="1" thickBot="1">
      <c r="A15" s="10"/>
      <c r="B15" s="615" t="str">
        <f>Language!A311</f>
        <v>GPS position of the laboratory (used for GIS representation of indicators). PLEASE ONLY USE DIGITAL DEGREE WITH + OR - SIGN. DO NOT USE DEGREES, MINUTES, SECONDS</v>
      </c>
      <c r="C15" s="616"/>
      <c r="D15" s="616"/>
      <c r="E15" s="616"/>
      <c r="F15" s="616"/>
      <c r="G15" s="616"/>
    </row>
    <row r="16" spans="1:8" ht="27.6">
      <c r="A16" s="10" t="s">
        <v>314</v>
      </c>
      <c r="B16" s="394" t="str">
        <f>Language!A312</f>
        <v>For altitude, enter meters without digits.                                                   Altitude</v>
      </c>
      <c r="C16" s="617"/>
      <c r="D16" s="618"/>
      <c r="E16" s="235" t="str">
        <f>Language!A313</f>
        <v>Example: If altitude is 61.49 meters, enter 61</v>
      </c>
      <c r="F16" s="70"/>
      <c r="G16" s="7"/>
      <c r="H16" s="217"/>
    </row>
    <row r="17" spans="1:8" ht="27.6">
      <c r="A17" s="10" t="s">
        <v>315</v>
      </c>
      <c r="B17" s="394" t="str">
        <f>Language!A314</f>
        <v>For latitude, enter digital degrees with 5 digits after the comma.           Latitude</v>
      </c>
      <c r="C17" s="625"/>
      <c r="D17" s="626"/>
      <c r="E17" s="235" t="str">
        <f>Language!A315</f>
        <v>Example: 41,40338</v>
      </c>
      <c r="F17" s="7"/>
      <c r="G17" s="7"/>
      <c r="H17" s="217"/>
    </row>
    <row r="18" spans="1:8" ht="28.2" thickBot="1">
      <c r="A18" s="10" t="s">
        <v>964</v>
      </c>
      <c r="B18" s="394" t="str">
        <f>Language!A316</f>
        <v>For longitude, enter digital degrees with 5 digits after the comma.    Longitude</v>
      </c>
      <c r="C18" s="636"/>
      <c r="D18" s="637"/>
      <c r="E18" s="235" t="str">
        <f>Language!A317</f>
        <v>Example: -2,17403</v>
      </c>
      <c r="F18" s="7"/>
      <c r="G18" s="7"/>
      <c r="H18" s="217"/>
    </row>
    <row r="19" spans="1:8">
      <c r="A19" s="10"/>
      <c r="C19" s="7"/>
      <c r="D19" s="7"/>
      <c r="E19" s="7"/>
      <c r="F19" s="7"/>
      <c r="G19" s="7"/>
    </row>
    <row r="20" spans="1:8" ht="14.4" thickBot="1">
      <c r="A20" s="10" t="s">
        <v>965</v>
      </c>
      <c r="B20" s="627" t="str">
        <f>Language!A318</f>
        <v>Contact information of the relevant bacteriology laboratory leadership; e.g., Director, Manager, Supervisor, Section Head, Quality Officer</v>
      </c>
      <c r="C20" s="628"/>
      <c r="D20" s="628"/>
      <c r="E20" s="628"/>
      <c r="F20" s="628"/>
      <c r="G20" s="628"/>
    </row>
    <row r="21" spans="1:8" ht="14.4" thickBot="1">
      <c r="A21" s="10"/>
      <c r="B21" s="116" t="str">
        <f>Language!A319</f>
        <v>Title/Position</v>
      </c>
      <c r="C21" s="619" t="str">
        <f>Language!A450</f>
        <v>First Name</v>
      </c>
      <c r="D21" s="620"/>
      <c r="E21" s="621" t="str">
        <f>Language!A451</f>
        <v>Last name</v>
      </c>
      <c r="F21" s="622"/>
      <c r="G21" s="225" t="str">
        <f>Language!A452</f>
        <v>Email address</v>
      </c>
    </row>
    <row r="22" spans="1:8">
      <c r="A22" s="10"/>
      <c r="B22" s="414"/>
      <c r="C22" s="611"/>
      <c r="D22" s="612"/>
      <c r="E22" s="611"/>
      <c r="F22" s="612"/>
      <c r="G22" s="415"/>
    </row>
    <row r="23" spans="1:8">
      <c r="A23" s="10"/>
      <c r="B23" s="416"/>
      <c r="C23" s="613"/>
      <c r="D23" s="614"/>
      <c r="E23" s="613"/>
      <c r="F23" s="614"/>
      <c r="G23" s="417"/>
    </row>
    <row r="24" spans="1:8">
      <c r="A24" s="10"/>
      <c r="B24" s="416"/>
      <c r="C24" s="613"/>
      <c r="D24" s="614"/>
      <c r="E24" s="613"/>
      <c r="F24" s="614"/>
      <c r="G24" s="417"/>
    </row>
    <row r="25" spans="1:8">
      <c r="A25" s="10"/>
      <c r="B25" s="416"/>
      <c r="C25" s="613"/>
      <c r="D25" s="614"/>
      <c r="E25" s="613"/>
      <c r="F25" s="614"/>
      <c r="G25" s="417"/>
    </row>
    <row r="26" spans="1:8">
      <c r="A26" s="10"/>
      <c r="B26" s="416"/>
      <c r="C26" s="613"/>
      <c r="D26" s="614"/>
      <c r="E26" s="613"/>
      <c r="F26" s="614"/>
      <c r="G26" s="417"/>
    </row>
    <row r="27" spans="1:8">
      <c r="A27" s="10"/>
      <c r="B27" s="416"/>
      <c r="C27" s="613"/>
      <c r="D27" s="614"/>
      <c r="E27" s="613"/>
      <c r="F27" s="614"/>
      <c r="G27" s="417"/>
    </row>
    <row r="28" spans="1:8">
      <c r="A28" s="10"/>
      <c r="B28" s="416"/>
      <c r="C28" s="613"/>
      <c r="D28" s="614"/>
      <c r="E28" s="613"/>
      <c r="F28" s="614"/>
      <c r="G28" s="417"/>
    </row>
    <row r="29" spans="1:8" ht="14.4" thickBot="1">
      <c r="A29" s="10"/>
      <c r="B29" s="418"/>
      <c r="C29" s="623"/>
      <c r="D29" s="624"/>
      <c r="E29" s="623"/>
      <c r="F29" s="624"/>
      <c r="G29" s="419"/>
    </row>
    <row r="30" spans="1:8">
      <c r="A30" s="10"/>
      <c r="B30" s="352"/>
      <c r="C30" s="4"/>
      <c r="D30" s="79"/>
      <c r="E30" s="4" t="s">
        <v>22</v>
      </c>
      <c r="F30" s="79"/>
    </row>
    <row r="31" spans="1:8">
      <c r="A31" s="10" t="s">
        <v>966</v>
      </c>
      <c r="B31" s="353" t="str">
        <f>Language!A327</f>
        <v>Primary Laboratory/Facility funding sources</v>
      </c>
      <c r="C31" s="420"/>
      <c r="D31" s="62"/>
      <c r="E31" s="600"/>
      <c r="F31" s="601"/>
      <c r="G31" s="602"/>
      <c r="H31" s="217"/>
    </row>
    <row r="32" spans="1:8">
      <c r="A32" s="10"/>
      <c r="B32" s="540" t="str">
        <f>Language!A328</f>
        <v>1. Public/Government</v>
      </c>
      <c r="D32" s="62"/>
      <c r="E32" s="62"/>
      <c r="G32" s="222"/>
    </row>
    <row r="33" spans="1:8">
      <c r="A33" s="10"/>
      <c r="B33" s="540" t="str">
        <f>Language!A329</f>
        <v>2. Private</v>
      </c>
      <c r="D33" s="62"/>
      <c r="E33" s="62"/>
    </row>
    <row r="34" spans="1:8">
      <c r="A34" s="10"/>
      <c r="B34" s="540" t="str">
        <f>Language!A330</f>
        <v>3. NGO/Faith-based/Donors</v>
      </c>
      <c r="D34" s="62"/>
      <c r="E34" s="62"/>
    </row>
    <row r="35" spans="1:8">
      <c r="A35" s="10"/>
      <c r="B35" s="540" t="str">
        <f>Language!A331</f>
        <v>4. Other</v>
      </c>
      <c r="D35" s="62"/>
      <c r="E35" s="62"/>
      <c r="F35" s="62"/>
    </row>
    <row r="36" spans="1:8">
      <c r="A36" s="10" t="s">
        <v>967</v>
      </c>
      <c r="B36" s="353" t="str">
        <f>Language!A332</f>
        <v>Primary Laboratory affiliation</v>
      </c>
      <c r="C36" s="420"/>
      <c r="D36" s="62"/>
      <c r="E36" s="600"/>
      <c r="F36" s="601"/>
      <c r="G36" s="602"/>
      <c r="H36" s="217"/>
    </row>
    <row r="37" spans="1:8">
      <c r="A37" s="10"/>
      <c r="B37" s="540" t="str">
        <f>Language!A333</f>
        <v>1. Hospital: University Medical Center or Teaching Hospital</v>
      </c>
      <c r="D37" s="62"/>
      <c r="E37" s="62"/>
      <c r="F37" s="62"/>
    </row>
    <row r="38" spans="1:8">
      <c r="A38" s="10"/>
      <c r="B38" s="540" t="str">
        <f>Language!A334</f>
        <v>2. Hospital: Military</v>
      </c>
      <c r="D38" s="62"/>
      <c r="E38" s="62"/>
    </row>
    <row r="39" spans="1:8">
      <c r="A39" s="10"/>
      <c r="B39" s="540" t="str">
        <f>Language!A335</f>
        <v>3. Hospital: (not academic or military)</v>
      </c>
      <c r="D39" s="62"/>
      <c r="E39" s="62"/>
      <c r="F39" s="62"/>
    </row>
    <row r="40" spans="1:8">
      <c r="A40" s="10"/>
      <c r="B40" s="540" t="str">
        <f>Language!A336</f>
        <v>4. Clinic (primarily outpatient)</v>
      </c>
      <c r="D40" s="62"/>
      <c r="E40" s="62"/>
      <c r="F40" s="62"/>
    </row>
    <row r="41" spans="1:8">
      <c r="A41" s="10"/>
      <c r="B41" s="540" t="str">
        <f>Language!A337</f>
        <v>5. Reference/referral lab within a Public Health Institute</v>
      </c>
      <c r="D41" s="62"/>
      <c r="E41" s="62"/>
    </row>
    <row r="42" spans="1:8" ht="27.6">
      <c r="A42" s="10"/>
      <c r="B42" s="540" t="str">
        <f>Language!A338</f>
        <v>6. Reference/referral lab not affiliated with a single healthcare facility or public health institute</v>
      </c>
      <c r="D42" s="62"/>
      <c r="E42" s="62"/>
    </row>
    <row r="43" spans="1:8">
      <c r="A43" s="10"/>
      <c r="B43" s="540" t="str">
        <f>Language!A339</f>
        <v>7. Other, e.g., Research Laboratory</v>
      </c>
      <c r="D43" s="62"/>
      <c r="E43" s="62"/>
    </row>
    <row r="44" spans="1:8" ht="27.6" customHeight="1">
      <c r="A44" s="10" t="s">
        <v>968</v>
      </c>
      <c r="B44" s="353" t="str">
        <f>Language!A340</f>
        <v>Laboratory/Facility Level (if primarily government funded)</v>
      </c>
      <c r="C44" s="420"/>
      <c r="D44" s="62"/>
      <c r="E44" s="600"/>
      <c r="F44" s="601"/>
      <c r="G44" s="602"/>
      <c r="H44" s="217"/>
    </row>
    <row r="45" spans="1:8">
      <c r="A45" s="10"/>
      <c r="B45" s="541" t="str">
        <f>Language!A341</f>
        <v>1. National</v>
      </c>
      <c r="D45" s="62"/>
      <c r="E45" s="62"/>
    </row>
    <row r="46" spans="1:8">
      <c r="A46" s="10"/>
      <c r="B46" s="541" t="str">
        <f>Language!A342</f>
        <v xml:space="preserve">2. Regional </v>
      </c>
      <c r="D46" s="62"/>
      <c r="E46" s="62"/>
    </row>
    <row r="47" spans="1:8">
      <c r="A47" s="10"/>
      <c r="B47" s="541" t="str">
        <f>Language!A343</f>
        <v>3. Provincial</v>
      </c>
      <c r="D47" s="62"/>
      <c r="E47" s="62"/>
    </row>
    <row r="48" spans="1:8">
      <c r="A48" s="10"/>
      <c r="B48" s="541" t="str">
        <f>Language!A344</f>
        <v>4. District</v>
      </c>
      <c r="D48" s="62"/>
      <c r="E48" s="62"/>
    </row>
    <row r="49" spans="1:8">
      <c r="A49" s="10"/>
      <c r="B49" s="541" t="str">
        <f>Language!A345</f>
        <v>5. NA</v>
      </c>
      <c r="D49" s="62"/>
      <c r="E49" s="62"/>
    </row>
    <row r="50" spans="1:8">
      <c r="A50" s="77" t="s">
        <v>969</v>
      </c>
      <c r="B50" s="354" t="str">
        <f>Language!A346</f>
        <v>Service level of the Hospital/Healthcare Facility</v>
      </c>
      <c r="C50" s="420"/>
      <c r="D50" s="62"/>
      <c r="E50" s="600"/>
      <c r="F50" s="601"/>
      <c r="G50" s="602"/>
      <c r="H50" s="217"/>
    </row>
    <row r="51" spans="1:8">
      <c r="A51" s="77"/>
      <c r="B51" s="541" t="str">
        <f>Language!A347</f>
        <v>1. Primary</v>
      </c>
      <c r="D51" s="62"/>
      <c r="E51" s="62"/>
    </row>
    <row r="52" spans="1:8">
      <c r="A52" s="77"/>
      <c r="B52" s="541" t="str">
        <f>Language!A348</f>
        <v>2. Secondary</v>
      </c>
      <c r="D52" s="62"/>
      <c r="E52" s="62"/>
    </row>
    <row r="53" spans="1:8">
      <c r="A53" s="77"/>
      <c r="B53" s="541" t="str">
        <f>Language!A349</f>
        <v>3. Tertiary</v>
      </c>
      <c r="D53" s="62"/>
      <c r="E53" s="62"/>
    </row>
    <row r="54" spans="1:8">
      <c r="A54" s="10"/>
      <c r="B54" s="541" t="str">
        <f>Language!A350</f>
        <v>4. Other</v>
      </c>
      <c r="D54" s="62"/>
      <c r="E54" s="62"/>
    </row>
    <row r="55" spans="1:8">
      <c r="A55" s="10"/>
      <c r="B55" s="541" t="str">
        <f>Language!A351</f>
        <v>5. NA</v>
      </c>
      <c r="D55" s="62"/>
      <c r="E55" s="62"/>
    </row>
    <row r="56" spans="1:8">
      <c r="A56" s="10">
        <v>0.19</v>
      </c>
      <c r="B56" s="353" t="str">
        <f>Language!A352</f>
        <v>Number of beds of the Hospital/Healthcare Facility</v>
      </c>
      <c r="C56" s="66"/>
      <c r="D56" s="62"/>
      <c r="E56" s="600"/>
      <c r="F56" s="601"/>
      <c r="G56" s="602"/>
      <c r="H56" s="217"/>
    </row>
    <row r="57" spans="1:8">
      <c r="A57" s="10"/>
      <c r="B57" s="540" t="str">
        <f>Language!A353</f>
        <v>(&lt;100, 100-499, 500-1000, &gt;1000, NA)</v>
      </c>
      <c r="C57" s="4"/>
      <c r="D57" s="62"/>
      <c r="E57" s="4"/>
      <c r="F57" s="62"/>
    </row>
    <row r="58" spans="1:8" ht="14.4">
      <c r="A58" s="10"/>
      <c r="B58" s="218" t="str">
        <f>Language!A354</f>
        <v>Please note: all questions refer only to clinical patient specimens, NOT to environmental or research specimens</v>
      </c>
      <c r="C58" s="4"/>
      <c r="D58" s="62"/>
      <c r="E58" s="4"/>
      <c r="F58" s="62"/>
    </row>
    <row r="59" spans="1:8" s="99" customFormat="1" ht="14.4" thickBot="1">
      <c r="A59" s="209"/>
      <c r="B59" s="105" t="str">
        <f>Language!A355</f>
        <v>TEST MENU and WORKLOAD</v>
      </c>
      <c r="C59" s="97"/>
      <c r="D59" s="97"/>
      <c r="E59" s="629"/>
      <c r="F59" s="629"/>
      <c r="G59" s="629"/>
      <c r="H59" s="98"/>
    </row>
    <row r="60" spans="1:8" s="99" customFormat="1" ht="28.2" customHeight="1" thickBot="1">
      <c r="A60" s="102"/>
      <c r="B60" s="117" t="str">
        <f>Language!A356</f>
        <v>Does the lab perform the following types of culture?</v>
      </c>
      <c r="C60" s="106" t="str">
        <f>Language!A454</f>
        <v>Y/N</v>
      </c>
      <c r="D60" s="106" t="str">
        <f>Language!A455</f>
        <v xml:space="preserve"># cultures last year </v>
      </c>
      <c r="E60" s="630" t="str">
        <f>E30</f>
        <v>Comments</v>
      </c>
      <c r="F60" s="631"/>
      <c r="G60" s="632"/>
    </row>
    <row r="61" spans="1:8" s="99" customFormat="1" ht="27.45" customHeight="1">
      <c r="A61" s="102"/>
      <c r="B61" s="591" t="str">
        <f>Language!A357</f>
        <v>In the # cultures last year column, please enter the total number of cultures performed last year, both positive and negative</v>
      </c>
      <c r="C61" s="592"/>
      <c r="D61" s="592"/>
      <c r="E61" s="100"/>
      <c r="F61" s="226"/>
    </row>
    <row r="62" spans="1:8" s="99" customFormat="1">
      <c r="A62" s="77" t="s">
        <v>970</v>
      </c>
      <c r="B62" s="509" t="str">
        <f>Language!A358</f>
        <v>Blood Cultures</v>
      </c>
      <c r="C62" s="421"/>
      <c r="D62" s="422"/>
      <c r="E62" s="600"/>
      <c r="F62" s="601"/>
      <c r="G62" s="602"/>
      <c r="H62" s="219"/>
    </row>
    <row r="63" spans="1:8" s="99" customFormat="1">
      <c r="A63" s="77" t="s">
        <v>971</v>
      </c>
      <c r="B63" s="122" t="str">
        <f>Language!A359</f>
        <v>Urine Cultures</v>
      </c>
      <c r="C63" s="421"/>
      <c r="D63" s="422"/>
      <c r="E63" s="600"/>
      <c r="F63" s="601"/>
      <c r="G63" s="602"/>
      <c r="H63" s="219"/>
    </row>
    <row r="64" spans="1:8" s="99" customFormat="1">
      <c r="A64" s="77" t="s">
        <v>972</v>
      </c>
      <c r="B64" s="509" t="str">
        <f>Language!A360</f>
        <v>Stool Cultures (all bacterial enteric pathogens)</v>
      </c>
      <c r="C64" s="421"/>
      <c r="D64" s="422"/>
      <c r="E64" s="600"/>
      <c r="F64" s="601"/>
      <c r="G64" s="602"/>
      <c r="H64" s="219"/>
    </row>
    <row r="65" spans="1:8" s="99" customFormat="1" ht="27.45" customHeight="1">
      <c r="A65" s="10"/>
      <c r="B65" s="593" t="str">
        <f>Language!A361</f>
        <v>Please indicate if the lab performs stool culture for the following enteric pathogens. Do not enter the number of cultures.</v>
      </c>
      <c r="C65" s="594"/>
      <c r="D65" s="594"/>
      <c r="E65" s="62"/>
      <c r="F65" s="226"/>
      <c r="G65" s="62"/>
      <c r="H65" s="219"/>
    </row>
    <row r="66" spans="1:8" s="99" customFormat="1">
      <c r="A66" s="77" t="s">
        <v>973</v>
      </c>
      <c r="B66" s="111" t="str">
        <f>Language!A362</f>
        <v>Salmonella and/or Shigella</v>
      </c>
      <c r="C66" s="421"/>
      <c r="D66" s="251" t="s">
        <v>1575</v>
      </c>
      <c r="E66" s="600"/>
      <c r="F66" s="601"/>
      <c r="G66" s="602"/>
      <c r="H66" s="219"/>
    </row>
    <row r="67" spans="1:8" s="99" customFormat="1">
      <c r="A67" s="77" t="s">
        <v>974</v>
      </c>
      <c r="B67" s="503" t="str">
        <f>Language!A363</f>
        <v>Vibrio cholerae</v>
      </c>
      <c r="C67" s="421"/>
      <c r="D67" s="251" t="s">
        <v>1575</v>
      </c>
      <c r="E67" s="600"/>
      <c r="F67" s="601"/>
      <c r="G67" s="602"/>
      <c r="H67" s="219"/>
    </row>
    <row r="68" spans="1:8" s="99" customFormat="1">
      <c r="A68" s="77" t="s">
        <v>975</v>
      </c>
      <c r="B68" s="503" t="str">
        <f>Language!A364</f>
        <v>Yersinia enterocolitica</v>
      </c>
      <c r="C68" s="421"/>
      <c r="D68" s="251" t="s">
        <v>1575</v>
      </c>
      <c r="E68" s="600"/>
      <c r="F68" s="601"/>
      <c r="G68" s="602"/>
      <c r="H68" s="219"/>
    </row>
    <row r="69" spans="1:8" s="99" customFormat="1">
      <c r="A69" s="77" t="s">
        <v>976</v>
      </c>
      <c r="B69" s="503" t="str">
        <f>Language!A365</f>
        <v>Campylobacter jejuni</v>
      </c>
      <c r="C69" s="421"/>
      <c r="D69" s="251" t="s">
        <v>1575</v>
      </c>
      <c r="E69" s="600"/>
      <c r="F69" s="601"/>
      <c r="G69" s="602"/>
      <c r="H69" s="219"/>
    </row>
    <row r="70" spans="1:8" s="99" customFormat="1">
      <c r="A70" s="77" t="s">
        <v>977</v>
      </c>
      <c r="B70" s="111" t="str">
        <f>Language!A366</f>
        <v>Enterohemorrhagic/Enterotoxic E. coli (e.g., O157:H7)</v>
      </c>
      <c r="C70" s="421"/>
      <c r="D70" s="251" t="s">
        <v>1575</v>
      </c>
      <c r="E70" s="600"/>
      <c r="F70" s="601"/>
      <c r="G70" s="602"/>
      <c r="H70" s="219"/>
    </row>
    <row r="71" spans="1:8" s="99" customFormat="1">
      <c r="A71" s="77" t="s">
        <v>978</v>
      </c>
      <c r="B71" s="168" t="str">
        <f>Language!A367</f>
        <v>Respiratory Cultures (not TB/AFB)</v>
      </c>
      <c r="C71" s="421"/>
      <c r="D71" s="422"/>
      <c r="E71" s="600"/>
      <c r="F71" s="601"/>
      <c r="G71" s="602"/>
      <c r="H71" s="219"/>
    </row>
    <row r="72" spans="1:8" s="99" customFormat="1">
      <c r="A72" s="77" t="s">
        <v>979</v>
      </c>
      <c r="B72" s="168" t="str">
        <f>Language!A368</f>
        <v>Wound Cultures</v>
      </c>
      <c r="C72" s="421"/>
      <c r="D72" s="422"/>
      <c r="E72" s="600"/>
      <c r="F72" s="601"/>
      <c r="G72" s="602"/>
      <c r="H72" s="219"/>
    </row>
    <row r="73" spans="1:8" s="99" customFormat="1">
      <c r="A73" s="77" t="s">
        <v>980</v>
      </c>
      <c r="B73" s="168" t="str">
        <f>Language!A369</f>
        <v>Cerebrospinal Fluid Cultures</v>
      </c>
      <c r="C73" s="421"/>
      <c r="D73" s="422"/>
      <c r="E73" s="600"/>
      <c r="F73" s="601"/>
      <c r="G73" s="602"/>
      <c r="H73" s="219"/>
    </row>
    <row r="74" spans="1:8" s="99" customFormat="1" ht="27.6" customHeight="1">
      <c r="A74" s="77" t="s">
        <v>981</v>
      </c>
      <c r="B74" s="168" t="str">
        <f>Language!A370</f>
        <v>Sterile Body Fluid Cultures (pleural, pericardial, peritoneal, synovial)</v>
      </c>
      <c r="C74" s="421"/>
      <c r="D74" s="422"/>
      <c r="E74" s="600"/>
      <c r="F74" s="601"/>
      <c r="G74" s="602"/>
      <c r="H74" s="219"/>
    </row>
    <row r="75" spans="1:8" s="99" customFormat="1">
      <c r="A75" s="77" t="s">
        <v>982</v>
      </c>
      <c r="B75" s="168" t="str">
        <f>Language!A371</f>
        <v>Genital Cultures</v>
      </c>
      <c r="C75" s="421"/>
      <c r="D75" s="422"/>
      <c r="E75" s="600"/>
      <c r="F75" s="601"/>
      <c r="G75" s="602"/>
      <c r="H75" s="219"/>
    </row>
    <row r="76" spans="1:8" s="99" customFormat="1">
      <c r="A76" s="77" t="s">
        <v>983</v>
      </c>
      <c r="B76" s="168" t="str">
        <f>Language!A372</f>
        <v>Anaerobic Cultures</v>
      </c>
      <c r="C76" s="421"/>
      <c r="D76" s="422"/>
      <c r="E76" s="600"/>
      <c r="F76" s="601"/>
      <c r="G76" s="602"/>
      <c r="H76" s="219"/>
    </row>
    <row r="77" spans="1:8" s="99" customFormat="1">
      <c r="A77" s="77" t="s">
        <v>984</v>
      </c>
      <c r="B77" s="168" t="str">
        <f>Language!A373</f>
        <v>Fungal Cultures (Yeast)</v>
      </c>
      <c r="C77" s="421"/>
      <c r="D77" s="422"/>
      <c r="E77" s="600"/>
      <c r="F77" s="601"/>
      <c r="G77" s="602"/>
      <c r="H77" s="219"/>
    </row>
    <row r="78" spans="1:8" s="99" customFormat="1">
      <c r="A78" s="77" t="s">
        <v>985</v>
      </c>
      <c r="B78" s="168" t="str">
        <f>Language!A374</f>
        <v>Fungal Cultures (Mold)</v>
      </c>
      <c r="C78" s="421"/>
      <c r="D78" s="422"/>
      <c r="E78" s="600"/>
      <c r="F78" s="601"/>
      <c r="G78" s="602"/>
      <c r="H78" s="219"/>
    </row>
    <row r="79" spans="1:8" s="99" customFormat="1">
      <c r="A79" s="77" t="s">
        <v>986</v>
      </c>
      <c r="B79" s="168" t="str">
        <f>Language!A375</f>
        <v>MRSA screen for Infection Control purposes (e.g., nares, axilla, groin)</v>
      </c>
      <c r="C79" s="421"/>
      <c r="D79" s="422"/>
      <c r="E79" s="600"/>
      <c r="F79" s="601"/>
      <c r="G79" s="602"/>
      <c r="H79" s="219"/>
    </row>
    <row r="80" spans="1:8" s="99" customFormat="1">
      <c r="A80" s="77" t="s">
        <v>2210</v>
      </c>
      <c r="B80" s="168" t="str">
        <f>Language!A376</f>
        <v>VRE screen for Infection Control purposes (e.g., rectal swab)</v>
      </c>
      <c r="C80" s="421"/>
      <c r="D80" s="422"/>
      <c r="E80" s="600"/>
      <c r="F80" s="601"/>
      <c r="G80" s="602"/>
      <c r="H80" s="219"/>
    </row>
    <row r="81" spans="1:10" s="99" customFormat="1" ht="27.6" customHeight="1">
      <c r="A81" s="77" t="s">
        <v>987</v>
      </c>
      <c r="B81" s="168" t="str">
        <f>Language!A377</f>
        <v>CRE screen (e.g., rectal swab)</v>
      </c>
      <c r="C81" s="421"/>
      <c r="D81" s="422"/>
      <c r="E81" s="600"/>
      <c r="F81" s="601"/>
      <c r="G81" s="602"/>
      <c r="H81" s="219"/>
    </row>
    <row r="82" spans="1:10">
      <c r="A82" s="77" t="s">
        <v>988</v>
      </c>
      <c r="B82" s="7" t="str">
        <f>Language!A378</f>
        <v>Identification and/or AST of isolates referred from other laboratories</v>
      </c>
      <c r="C82" s="421"/>
      <c r="D82" s="422"/>
      <c r="E82" s="600"/>
      <c r="F82" s="601"/>
      <c r="G82" s="602"/>
      <c r="H82" s="219"/>
    </row>
    <row r="83" spans="1:10" ht="27.6" customHeight="1">
      <c r="A83" s="77" t="s">
        <v>989</v>
      </c>
      <c r="B83" s="7" t="str">
        <f>Language!A379</f>
        <v>Other cultures of local importance (opportunity to customize via comments)</v>
      </c>
      <c r="C83" s="421"/>
      <c r="D83" s="422"/>
      <c r="E83" s="600"/>
      <c r="F83" s="601"/>
      <c r="G83" s="602"/>
      <c r="H83" s="219"/>
    </row>
    <row r="84" spans="1:10">
      <c r="A84" s="10"/>
      <c r="B84" s="70"/>
      <c r="F84" s="62"/>
    </row>
    <row r="85" spans="1:10" customFormat="1" ht="16.2" thickBot="1">
      <c r="A85" s="165"/>
      <c r="B85" s="34" t="str">
        <f>Language!A380</f>
        <v xml:space="preserve">AST/AMR METHODS AND WORKLOAD </v>
      </c>
      <c r="C85" s="44"/>
      <c r="D85" s="44"/>
      <c r="E85" s="223"/>
      <c r="F85" s="223"/>
      <c r="G85" s="223"/>
      <c r="H85" s="26"/>
      <c r="I85" s="30"/>
      <c r="J85" s="30"/>
    </row>
    <row r="86" spans="1:10" s="99" customFormat="1" ht="21" customHeight="1" thickBot="1">
      <c r="A86" s="102"/>
      <c r="B86" s="118" t="str">
        <f>Language!A381</f>
        <v xml:space="preserve">Which manual AST methods are in use? </v>
      </c>
      <c r="C86" s="101" t="str">
        <f>Language!A454</f>
        <v>Y/N</v>
      </c>
      <c r="D86" s="356" t="str">
        <f>Language!A456</f>
        <v xml:space="preserve"># organisms last year </v>
      </c>
      <c r="E86" s="598" t="str">
        <f>E60</f>
        <v>Comments</v>
      </c>
      <c r="F86" s="598"/>
      <c r="G86" s="599"/>
    </row>
    <row r="87" spans="1:10" s="99" customFormat="1" ht="27.45" customHeight="1">
      <c r="A87" s="16"/>
      <c r="B87" s="591" t="str">
        <f>Language!A382</f>
        <v>In the # organisms last year column, please enter the approximate number of organisms tested using each method, not the number of antibiotics tested</v>
      </c>
      <c r="C87" s="592"/>
      <c r="D87" s="592"/>
      <c r="E87" s="100"/>
      <c r="F87" s="62"/>
    </row>
    <row r="88" spans="1:10" customFormat="1" ht="15.6">
      <c r="A88" s="77" t="s">
        <v>990</v>
      </c>
      <c r="B88" s="37" t="str">
        <f>Language!A383</f>
        <v>Disk diffusion</v>
      </c>
      <c r="C88" s="252"/>
      <c r="D88" s="423"/>
      <c r="E88" s="595"/>
      <c r="F88" s="596"/>
      <c r="G88" s="597"/>
      <c r="H88" s="219"/>
      <c r="I88" s="99"/>
      <c r="J88" s="99"/>
    </row>
    <row r="89" spans="1:10" customFormat="1" ht="15.6">
      <c r="A89" s="77" t="s">
        <v>991</v>
      </c>
      <c r="B89" s="37" t="str">
        <f>Language!A384</f>
        <v>Gradient Strip (e.g., Etest/Liofilchem)</v>
      </c>
      <c r="C89" s="252"/>
      <c r="D89" s="423"/>
      <c r="E89" s="595"/>
      <c r="F89" s="596"/>
      <c r="G89" s="597"/>
      <c r="H89" s="219"/>
      <c r="I89" s="99"/>
      <c r="J89" s="99"/>
    </row>
    <row r="90" spans="1:10" customFormat="1" ht="15.6">
      <c r="A90" s="77" t="s">
        <v>992</v>
      </c>
      <c r="B90" s="37" t="str">
        <f>Language!A385</f>
        <v>Broth microdilution (96-well tray)</v>
      </c>
      <c r="C90" s="252"/>
      <c r="D90" s="423"/>
      <c r="E90" s="595"/>
      <c r="F90" s="596"/>
      <c r="G90" s="597"/>
      <c r="H90" s="219"/>
      <c r="I90" s="99"/>
      <c r="J90" s="99"/>
    </row>
    <row r="91" spans="1:10" customFormat="1" ht="15.6">
      <c r="A91" s="77" t="s">
        <v>993</v>
      </c>
      <c r="B91" s="37" t="str">
        <f>Language!A386</f>
        <v>Broth macrodilultion (tube method)</v>
      </c>
      <c r="C91" s="252"/>
      <c r="D91" s="423"/>
      <c r="E91" s="595"/>
      <c r="F91" s="596"/>
      <c r="G91" s="597"/>
      <c r="H91" s="219"/>
      <c r="I91" s="99"/>
      <c r="J91" s="99"/>
    </row>
    <row r="92" spans="1:10" customFormat="1" ht="15.6">
      <c r="A92" s="77" t="s">
        <v>994</v>
      </c>
      <c r="B92" s="37" t="str">
        <f>Language!A387</f>
        <v>Agar dilution</v>
      </c>
      <c r="C92" s="252"/>
      <c r="D92" s="423"/>
      <c r="E92" s="595"/>
      <c r="F92" s="596"/>
      <c r="G92" s="597"/>
      <c r="H92" s="219"/>
      <c r="I92" s="99"/>
      <c r="J92" s="99"/>
    </row>
    <row r="93" spans="1:10" customFormat="1" ht="16.2" thickBot="1">
      <c r="A93" s="10"/>
      <c r="B93" s="20"/>
      <c r="E93" s="155"/>
      <c r="F93" s="227"/>
      <c r="G93" s="99"/>
      <c r="H93" s="5"/>
      <c r="I93" s="99"/>
      <c r="J93" s="99"/>
    </row>
    <row r="94" spans="1:10" s="99" customFormat="1" ht="25.2" customHeight="1" thickBot="1">
      <c r="A94" s="10"/>
      <c r="B94" s="118" t="str">
        <f>Language!A388</f>
        <v xml:space="preserve">Which automated AST methods are in use? </v>
      </c>
      <c r="C94" s="101" t="str">
        <f>Language!A454</f>
        <v>Y/N</v>
      </c>
      <c r="D94" s="356" t="str">
        <f>D86</f>
        <v xml:space="preserve"># organisms last year </v>
      </c>
      <c r="E94" s="598" t="str">
        <f>E86</f>
        <v>Comments</v>
      </c>
      <c r="F94" s="598"/>
      <c r="G94" s="599"/>
    </row>
    <row r="95" spans="1:10" s="99" customFormat="1" ht="27.45" customHeight="1">
      <c r="A95" s="16"/>
      <c r="B95" s="591" t="str">
        <f>Language!A389</f>
        <v>In the # organisms last year column, please enter the approximate number of organisms tested using each method, not the number of antibiotics tested</v>
      </c>
      <c r="C95" s="592"/>
      <c r="D95" s="592"/>
      <c r="E95" s="100"/>
      <c r="F95" s="100"/>
      <c r="G95" s="100"/>
    </row>
    <row r="96" spans="1:10" customFormat="1" ht="15.6">
      <c r="A96" s="120" t="s">
        <v>995</v>
      </c>
      <c r="B96" s="37" t="str">
        <f>Language!A390</f>
        <v>Vitek</v>
      </c>
      <c r="C96" s="252"/>
      <c r="D96" s="423"/>
      <c r="E96" s="595"/>
      <c r="F96" s="596"/>
      <c r="G96" s="597"/>
      <c r="H96" s="219"/>
      <c r="I96" s="99"/>
      <c r="J96" s="99"/>
    </row>
    <row r="97" spans="1:10" customFormat="1" ht="15.6">
      <c r="A97" s="120" t="s">
        <v>996</v>
      </c>
      <c r="B97" s="37" t="str">
        <f>Language!A391</f>
        <v>Phoenix</v>
      </c>
      <c r="C97" s="252"/>
      <c r="D97" s="423"/>
      <c r="E97" s="595"/>
      <c r="F97" s="596"/>
      <c r="G97" s="597"/>
      <c r="H97" s="219"/>
      <c r="I97" s="99"/>
      <c r="J97" s="99"/>
    </row>
    <row r="98" spans="1:10" customFormat="1" ht="15.6">
      <c r="A98" s="120" t="s">
        <v>997</v>
      </c>
      <c r="B98" s="37" t="str">
        <f>Language!A392</f>
        <v>Microscan</v>
      </c>
      <c r="C98" s="252"/>
      <c r="D98" s="423"/>
      <c r="E98" s="595"/>
      <c r="F98" s="596"/>
      <c r="G98" s="597"/>
      <c r="H98" s="219"/>
      <c r="I98" s="99"/>
      <c r="J98" s="99"/>
    </row>
    <row r="99" spans="1:10" customFormat="1" ht="15.6">
      <c r="A99" s="120" t="s">
        <v>998</v>
      </c>
      <c r="B99" s="37" t="str">
        <f>Language!A393</f>
        <v>Other, please specify in comments.</v>
      </c>
      <c r="C99" s="252"/>
      <c r="D99" s="423"/>
      <c r="E99" s="595"/>
      <c r="F99" s="596"/>
      <c r="G99" s="597"/>
      <c r="H99" s="219"/>
      <c r="I99" s="99"/>
      <c r="J99" s="99"/>
    </row>
    <row r="100" spans="1:10" customFormat="1" ht="16.2" thickBot="1">
      <c r="A100" s="10"/>
      <c r="B100" s="20"/>
      <c r="E100" s="155"/>
      <c r="F100" s="228"/>
      <c r="G100" s="155"/>
      <c r="H100" s="5"/>
      <c r="I100" s="99"/>
      <c r="J100" s="99"/>
    </row>
    <row r="101" spans="1:10" s="99" customFormat="1" ht="28.2" customHeight="1" thickBot="1">
      <c r="A101" s="10"/>
      <c r="B101" s="118" t="str">
        <f>Language!A394</f>
        <v>Does the lab use chromagar to detect antibiotic resistant organisms?</v>
      </c>
      <c r="C101" s="101" t="str">
        <f>Language!A454</f>
        <v>Y/N</v>
      </c>
      <c r="D101" s="356" t="str">
        <f>D86</f>
        <v xml:space="preserve"># organisms last year </v>
      </c>
      <c r="E101" s="598" t="str">
        <f>E94</f>
        <v>Comments</v>
      </c>
      <c r="F101" s="598"/>
      <c r="G101" s="599"/>
    </row>
    <row r="102" spans="1:10" s="99" customFormat="1">
      <c r="A102" s="16"/>
      <c r="B102" s="591" t="str">
        <f>Language!A395</f>
        <v>In the # organisms last year column, please enter the approximate number of organisms tested using each method</v>
      </c>
      <c r="C102" s="592"/>
      <c r="D102" s="592"/>
      <c r="E102" s="100"/>
      <c r="F102" s="229"/>
      <c r="G102" s="100"/>
    </row>
    <row r="103" spans="1:10" customFormat="1" ht="15.6">
      <c r="A103" s="77" t="s">
        <v>999</v>
      </c>
      <c r="B103" s="37" t="str">
        <f>Language!A396</f>
        <v>ESBL producers</v>
      </c>
      <c r="C103" s="252"/>
      <c r="D103" s="423"/>
      <c r="E103" s="595"/>
      <c r="F103" s="596"/>
      <c r="G103" s="597"/>
      <c r="H103" s="219"/>
      <c r="I103" s="99"/>
      <c r="J103" s="99"/>
    </row>
    <row r="104" spans="1:10" customFormat="1" ht="15.6">
      <c r="A104" s="77" t="s">
        <v>1000</v>
      </c>
      <c r="B104" s="37" t="str">
        <f>Language!A397</f>
        <v>CRE/Carbapenemases</v>
      </c>
      <c r="C104" s="252"/>
      <c r="D104" s="423"/>
      <c r="E104" s="595"/>
      <c r="F104" s="596"/>
      <c r="G104" s="597"/>
      <c r="H104" s="219"/>
      <c r="I104" s="99"/>
      <c r="J104" s="4"/>
    </row>
    <row r="105" spans="1:10" customFormat="1" ht="15.6">
      <c r="A105" s="77" t="s">
        <v>1001</v>
      </c>
      <c r="B105" s="37" t="str">
        <f>Language!A398</f>
        <v>MRSA</v>
      </c>
      <c r="C105" s="252"/>
      <c r="D105" s="423"/>
      <c r="E105" s="595"/>
      <c r="F105" s="596"/>
      <c r="G105" s="597"/>
      <c r="H105" s="219"/>
      <c r="I105" s="99"/>
      <c r="J105" s="4"/>
    </row>
    <row r="106" spans="1:10" customFormat="1" ht="15.6">
      <c r="A106" s="77" t="s">
        <v>1002</v>
      </c>
      <c r="B106" s="37" t="str">
        <f>Language!A399</f>
        <v>VRE</v>
      </c>
      <c r="C106" s="252"/>
      <c r="D106" s="423"/>
      <c r="E106" s="595"/>
      <c r="F106" s="596"/>
      <c r="G106" s="597"/>
      <c r="H106" s="219"/>
      <c r="I106" s="99"/>
      <c r="J106" s="99"/>
    </row>
    <row r="107" spans="1:10" customFormat="1" ht="15.6">
      <c r="A107" s="77" t="s">
        <v>1003</v>
      </c>
      <c r="B107" s="37" t="str">
        <f>Language!A400</f>
        <v>Colistin resistance</v>
      </c>
      <c r="C107" s="252"/>
      <c r="D107" s="423"/>
      <c r="E107" s="595"/>
      <c r="F107" s="596"/>
      <c r="G107" s="597"/>
      <c r="H107" s="219"/>
      <c r="I107" s="99"/>
      <c r="J107" s="99"/>
    </row>
    <row r="108" spans="1:10" customFormat="1" ht="15.6">
      <c r="A108" s="77" t="s">
        <v>1004</v>
      </c>
      <c r="B108" s="37" t="str">
        <f>Language!A401</f>
        <v>Other, please specify in comments.</v>
      </c>
      <c r="C108" s="252"/>
      <c r="D108" s="423"/>
      <c r="E108" s="595"/>
      <c r="F108" s="596"/>
      <c r="G108" s="597"/>
      <c r="H108" s="219"/>
      <c r="I108" s="99"/>
      <c r="J108" s="99"/>
    </row>
    <row r="109" spans="1:10" ht="14.4" thickBot="1">
      <c r="A109" s="10"/>
      <c r="C109" s="4"/>
      <c r="E109" s="99"/>
      <c r="F109" s="230"/>
      <c r="I109" s="99"/>
    </row>
    <row r="110" spans="1:10" s="99" customFormat="1" ht="28.2" customHeight="1" thickBot="1">
      <c r="A110" s="10"/>
      <c r="B110" s="118" t="str">
        <f>Language!A402</f>
        <v>Does the lab use PCR to detect antibiotic resistance genes?</v>
      </c>
      <c r="C110" s="101" t="str">
        <f>Language!A454</f>
        <v>Y/N</v>
      </c>
      <c r="D110" s="356" t="str">
        <f>D86</f>
        <v xml:space="preserve"># organisms last year </v>
      </c>
      <c r="E110" s="598" t="str">
        <f>E101</f>
        <v>Comments</v>
      </c>
      <c r="F110" s="598"/>
      <c r="G110" s="599"/>
    </row>
    <row r="111" spans="1:10" s="99" customFormat="1">
      <c r="A111" s="16"/>
      <c r="B111" s="591" t="str">
        <f>Language!A403</f>
        <v>In the #/year column, please enter the approximate number of organisms tested using each method</v>
      </c>
      <c r="C111" s="592"/>
      <c r="D111" s="592"/>
      <c r="E111" s="100"/>
      <c r="F111" s="229"/>
      <c r="G111" s="100"/>
    </row>
    <row r="112" spans="1:10" customFormat="1" ht="15.6">
      <c r="A112" s="77" t="s">
        <v>1005</v>
      </c>
      <c r="B112" s="37" t="str">
        <f>Language!A404</f>
        <v>ESBLs</v>
      </c>
      <c r="C112" s="252"/>
      <c r="D112" s="423"/>
      <c r="E112" s="595"/>
      <c r="F112" s="596"/>
      <c r="G112" s="597"/>
      <c r="H112" s="219"/>
      <c r="I112" s="99"/>
      <c r="J112" s="99"/>
    </row>
    <row r="113" spans="1:10" customFormat="1" ht="15.6">
      <c r="A113" s="77" t="s">
        <v>1006</v>
      </c>
      <c r="B113" s="37" t="str">
        <f>Language!A405</f>
        <v>Carbapenemases</v>
      </c>
      <c r="C113" s="252"/>
      <c r="D113" s="423"/>
      <c r="E113" s="595"/>
      <c r="F113" s="596"/>
      <c r="G113" s="597"/>
      <c r="H113" s="219"/>
      <c r="I113" s="99"/>
      <c r="J113" s="4"/>
    </row>
    <row r="114" spans="1:10" customFormat="1" ht="15.6">
      <c r="A114" s="77" t="s">
        <v>1007</v>
      </c>
      <c r="B114" s="37" t="str">
        <f>Language!A406</f>
        <v xml:space="preserve">mecA </v>
      </c>
      <c r="C114" s="252"/>
      <c r="D114" s="423"/>
      <c r="E114" s="595"/>
      <c r="F114" s="596"/>
      <c r="G114" s="597"/>
      <c r="H114" s="219"/>
      <c r="I114" s="99"/>
      <c r="J114" s="4"/>
    </row>
    <row r="115" spans="1:10" customFormat="1" ht="15.6">
      <c r="A115" s="77" t="s">
        <v>1899</v>
      </c>
      <c r="B115" s="37" t="str">
        <f>Language!A407</f>
        <v>vanA/vanB</v>
      </c>
      <c r="C115" s="252"/>
      <c r="D115" s="423"/>
      <c r="E115" s="595"/>
      <c r="F115" s="596"/>
      <c r="G115" s="597"/>
      <c r="H115" s="219"/>
      <c r="I115" s="99"/>
      <c r="J115" s="99"/>
    </row>
    <row r="116" spans="1:10" customFormat="1" ht="15.6">
      <c r="A116" s="77" t="s">
        <v>1900</v>
      </c>
      <c r="B116" s="37" t="str">
        <f>Language!A408</f>
        <v>mcr-1</v>
      </c>
      <c r="C116" s="252"/>
      <c r="D116" s="423"/>
      <c r="E116" s="595"/>
      <c r="F116" s="596"/>
      <c r="G116" s="597"/>
      <c r="H116" s="219"/>
      <c r="I116" s="99"/>
      <c r="J116" s="99"/>
    </row>
    <row r="117" spans="1:10" customFormat="1" ht="15.6">
      <c r="A117" s="77" t="s">
        <v>1901</v>
      </c>
      <c r="B117" s="37" t="str">
        <f>Language!A409</f>
        <v>Other, please specify in comments.</v>
      </c>
      <c r="C117" s="252"/>
      <c r="D117" s="423"/>
      <c r="E117" s="595"/>
      <c r="F117" s="596"/>
      <c r="G117" s="597"/>
      <c r="H117" s="219"/>
      <c r="I117" s="99"/>
      <c r="J117" s="99"/>
    </row>
    <row r="118" spans="1:10" customFormat="1" ht="16.2" thickBot="1">
      <c r="A118" s="10"/>
      <c r="B118" s="20"/>
      <c r="F118" s="231"/>
      <c r="H118" s="5"/>
      <c r="I118" s="99"/>
      <c r="J118" s="99"/>
    </row>
    <row r="119" spans="1:10" customFormat="1" ht="16.2" thickBot="1">
      <c r="A119" s="165"/>
      <c r="B119" s="114" t="str">
        <f>Language!A410</f>
        <v>LABORATORY STAFF EDUCATION/TRAINING</v>
      </c>
      <c r="C119" s="81"/>
      <c r="D119" s="81"/>
      <c r="E119" s="224"/>
      <c r="F119" s="224"/>
      <c r="G119" s="224"/>
      <c r="H119" s="5"/>
      <c r="I119" s="29"/>
      <c r="J119" s="18"/>
    </row>
    <row r="120" spans="1:10" customFormat="1" ht="41.4" customHeight="1">
      <c r="A120" s="16"/>
      <c r="B120" s="24" t="str">
        <f>Language!A411</f>
        <v xml:space="preserve">Among laboratory leadership and the technical staff in bacteriology, indicate the number that fall into each training level category. </v>
      </c>
      <c r="C120" s="107" t="str">
        <f>Language!A454</f>
        <v>Y/N</v>
      </c>
      <c r="D120" s="357" t="str">
        <f>Language!A457</f>
        <v># staff</v>
      </c>
      <c r="E120" s="607" t="str">
        <f>E110</f>
        <v>Comments</v>
      </c>
      <c r="F120" s="607"/>
      <c r="G120" s="607"/>
      <c r="H120" s="5"/>
      <c r="I120" s="29"/>
      <c r="J120" s="99"/>
    </row>
    <row r="121" spans="1:10" customFormat="1" ht="27.6" customHeight="1">
      <c r="A121" s="77" t="s">
        <v>1902</v>
      </c>
      <c r="B121" s="20" t="str">
        <f>Language!A412</f>
        <v>Advanced degree in Medical Microbiology or Medical Laboratory Sciences (PhD, MD, equivalent)</v>
      </c>
      <c r="C121" s="252"/>
      <c r="D121" s="424"/>
      <c r="E121" s="595"/>
      <c r="F121" s="596"/>
      <c r="G121" s="597"/>
      <c r="H121" s="5"/>
      <c r="I121" s="4"/>
      <c r="J121" s="99"/>
    </row>
    <row r="122" spans="1:10" customFormat="1" ht="15.6">
      <c r="A122" s="77" t="s">
        <v>1903</v>
      </c>
      <c r="B122" s="20" t="str">
        <f>Language!A413</f>
        <v>Advanced degree, other concentration (PhD, MD, equivalent)</v>
      </c>
      <c r="C122" s="252"/>
      <c r="D122" s="424"/>
      <c r="E122" s="595"/>
      <c r="F122" s="596"/>
      <c r="G122" s="597"/>
      <c r="H122" s="5"/>
      <c r="I122" s="4"/>
      <c r="J122" s="4"/>
    </row>
    <row r="123" spans="1:10" customFormat="1" ht="27.6">
      <c r="A123" s="77" t="s">
        <v>1904</v>
      </c>
      <c r="B123" s="20" t="str">
        <f>Language!A414</f>
        <v>Postgraduate Master's degree in Microbiology or Medical Laboratory Sciences</v>
      </c>
      <c r="C123" s="252"/>
      <c r="D123" s="424"/>
      <c r="E123" s="595"/>
      <c r="F123" s="596"/>
      <c r="G123" s="597"/>
      <c r="H123" s="5"/>
      <c r="I123" s="4"/>
      <c r="J123" s="4"/>
    </row>
    <row r="124" spans="1:10" customFormat="1" ht="15.6">
      <c r="A124" s="77" t="s">
        <v>1905</v>
      </c>
      <c r="B124" s="20" t="str">
        <f>Language!A415</f>
        <v>Postgraduate Master's degree, other concentration</v>
      </c>
      <c r="C124" s="252"/>
      <c r="D124" s="424"/>
      <c r="E124" s="595"/>
      <c r="F124" s="596"/>
      <c r="G124" s="597"/>
      <c r="H124" s="5"/>
      <c r="I124" s="4"/>
      <c r="J124" s="4"/>
    </row>
    <row r="125" spans="1:10" customFormat="1" ht="15.6">
      <c r="A125" s="77" t="s">
        <v>1906</v>
      </c>
      <c r="B125" s="20" t="str">
        <f>Language!A416</f>
        <v>Graduate Bachelor's degree in Microbiology or Medical Laboratory Sciences</v>
      </c>
      <c r="C125" s="252"/>
      <c r="D125" s="424"/>
      <c r="E125" s="595"/>
      <c r="F125" s="596"/>
      <c r="G125" s="597"/>
      <c r="H125" s="5"/>
      <c r="I125" s="4"/>
      <c r="J125" s="4"/>
    </row>
    <row r="126" spans="1:10" customFormat="1" ht="15.6">
      <c r="A126" s="77" t="s">
        <v>1907</v>
      </c>
      <c r="B126" s="20" t="str">
        <f>Language!A417</f>
        <v>Graduate Bachelor's degree, other concentration</v>
      </c>
      <c r="C126" s="252"/>
      <c r="D126" s="424"/>
      <c r="E126" s="595"/>
      <c r="F126" s="596"/>
      <c r="G126" s="597"/>
      <c r="H126" s="5"/>
      <c r="I126" s="4"/>
      <c r="J126" s="4"/>
    </row>
    <row r="127" spans="1:10" customFormat="1" ht="27.6" customHeight="1">
      <c r="A127" s="77" t="s">
        <v>1908</v>
      </c>
      <c r="B127" s="20" t="str">
        <f>Language!A418</f>
        <v>Undergraduate Certificate or Diploma in Microbiology or Medical Laboratory Sciences</v>
      </c>
      <c r="C127" s="252"/>
      <c r="D127" s="424"/>
      <c r="E127" s="595"/>
      <c r="F127" s="596"/>
      <c r="G127" s="597"/>
      <c r="H127" s="5"/>
      <c r="I127" s="4"/>
      <c r="J127" s="4"/>
    </row>
    <row r="128" spans="1:10" customFormat="1" ht="15.6">
      <c r="A128" s="77" t="s">
        <v>1909</v>
      </c>
      <c r="B128" s="20" t="str">
        <f>Language!A419</f>
        <v>Undergraduate Certificate or Diploma, other concentration</v>
      </c>
      <c r="C128" s="252"/>
      <c r="D128" s="424"/>
      <c r="E128" s="595"/>
      <c r="F128" s="596"/>
      <c r="G128" s="597"/>
      <c r="H128" s="5"/>
      <c r="I128" s="29"/>
      <c r="J128" s="18"/>
    </row>
    <row r="129" spans="1:10" customFormat="1" ht="15.6">
      <c r="A129" s="77" t="s">
        <v>1910</v>
      </c>
      <c r="B129" s="20" t="str">
        <f>Language!A420</f>
        <v>High school/Secondary school diploma</v>
      </c>
      <c r="C129" s="252"/>
      <c r="D129" s="424"/>
      <c r="E129" s="595"/>
      <c r="F129" s="596"/>
      <c r="G129" s="597"/>
      <c r="H129" s="5"/>
      <c r="I129" s="29"/>
      <c r="J129" s="18"/>
    </row>
    <row r="130" spans="1:10" customFormat="1" ht="15.6">
      <c r="A130" s="77" t="s">
        <v>1911</v>
      </c>
      <c r="B130" s="20" t="str">
        <f>Language!A421</f>
        <v>On-the-job training only</v>
      </c>
      <c r="C130" s="252"/>
      <c r="D130" s="424"/>
      <c r="E130" s="595"/>
      <c r="F130" s="596"/>
      <c r="G130" s="597"/>
      <c r="H130" s="5"/>
      <c r="I130" s="29"/>
      <c r="J130" s="18"/>
    </row>
    <row r="131" spans="1:10" customFormat="1" ht="15.6">
      <c r="A131" s="77" t="s">
        <v>2211</v>
      </c>
      <c r="B131" s="20" t="str">
        <f>Language!A422</f>
        <v>Other (specify in comments)</v>
      </c>
      <c r="C131" s="252"/>
      <c r="D131" s="424"/>
      <c r="E131" s="595"/>
      <c r="F131" s="596"/>
      <c r="G131" s="597"/>
      <c r="H131" s="5"/>
      <c r="I131" s="29"/>
      <c r="J131" s="18"/>
    </row>
    <row r="132" spans="1:10">
      <c r="F132" s="9"/>
      <c r="G132" s="9"/>
    </row>
    <row r="133" spans="1:10">
      <c r="C133" s="282" t="str">
        <f>Language!A458</f>
        <v>This section will autopopulate, do not enter data</v>
      </c>
      <c r="E133" s="130"/>
      <c r="F133" s="130"/>
      <c r="G133" s="130"/>
    </row>
    <row r="134" spans="1:10" ht="27.6" customHeight="1">
      <c r="B134" s="122" t="str">
        <f>Language!A423</f>
        <v>Number of staff with Microbiology or Medical Lab Science Training</v>
      </c>
      <c r="C134" s="125">
        <f>D121+D123+D125+D127</f>
        <v>0</v>
      </c>
      <c r="E134" s="125"/>
      <c r="F134" s="125"/>
      <c r="G134" s="125"/>
    </row>
    <row r="135" spans="1:10">
      <c r="B135" s="122" t="str">
        <f>Language!A424</f>
        <v>Number of staff with other training</v>
      </c>
      <c r="C135" s="125">
        <f>D122+D124+D126+D128+D129+D130</f>
        <v>0</v>
      </c>
      <c r="E135" s="125"/>
      <c r="F135" s="125"/>
      <c r="G135" s="125"/>
    </row>
    <row r="136" spans="1:10" ht="27.6" customHeight="1">
      <c r="B136" s="123" t="str">
        <f>Language!A425</f>
        <v>Proportion of staff with Microbiology or Medical Lab Science Training</v>
      </c>
      <c r="C136" s="126" t="e">
        <f>C134/(C134+C135)</f>
        <v>#DIV/0!</v>
      </c>
      <c r="E136" s="126"/>
      <c r="F136" s="126"/>
      <c r="G136" s="126"/>
    </row>
    <row r="137" spans="1:10" ht="15.6">
      <c r="B137" s="124"/>
      <c r="C137" s="127"/>
      <c r="E137" s="127"/>
      <c r="F137" s="127"/>
      <c r="G137" s="127"/>
    </row>
    <row r="138" spans="1:10">
      <c r="B138" s="122" t="str">
        <f>Language!A426</f>
        <v>Number of staff with a Graduate Bachelor's Degree or higher</v>
      </c>
      <c r="C138" s="125">
        <f>D121+D122+D123+D124+D125+D126</f>
        <v>0</v>
      </c>
      <c r="E138" s="125"/>
      <c r="F138" s="125"/>
      <c r="G138" s="125"/>
    </row>
    <row r="139" spans="1:10">
      <c r="B139" s="122" t="str">
        <f>Language!A427</f>
        <v>Number of staff with less than a Graduate Bachelor's Degree</v>
      </c>
      <c r="C139" s="125">
        <f>D127+D128+D129+D130+D131</f>
        <v>0</v>
      </c>
      <c r="E139" s="125"/>
      <c r="F139" s="125"/>
      <c r="G139" s="125"/>
    </row>
    <row r="140" spans="1:10">
      <c r="B140" s="123" t="str">
        <f>Language!A428</f>
        <v>Proportion of staff with a Graduate Bachelor's Degree or higher</v>
      </c>
      <c r="C140" s="128" t="e">
        <f>C138/(C138+C139)</f>
        <v>#DIV/0!</v>
      </c>
      <c r="E140" s="128"/>
      <c r="F140" s="128"/>
      <c r="G140" s="128"/>
    </row>
    <row r="141" spans="1:10" ht="14.4" thickBot="1">
      <c r="F141" s="9"/>
      <c r="G141" s="9"/>
    </row>
    <row r="142" spans="1:10" s="233" customFormat="1" ht="14.4" thickBot="1">
      <c r="A142" s="166"/>
      <c r="B142" s="113" t="str">
        <f>Language!A429</f>
        <v>QMS MENTORING PROGRAMS</v>
      </c>
      <c r="C142" s="80"/>
      <c r="D142" s="80"/>
      <c r="E142" s="80"/>
      <c r="F142" s="80"/>
      <c r="G142" s="80"/>
    </row>
    <row r="143" spans="1:10" s="233" customFormat="1">
      <c r="A143" s="10"/>
      <c r="B143" s="238"/>
      <c r="C143" s="15" t="str">
        <f>Language!A454</f>
        <v>Y/N</v>
      </c>
      <c r="D143" s="181" t="str">
        <f>Language!A459</f>
        <v>Year</v>
      </c>
      <c r="E143" s="606" t="str">
        <f>E120</f>
        <v>Comments</v>
      </c>
      <c r="F143" s="606"/>
      <c r="G143" s="606"/>
    </row>
    <row r="144" spans="1:10" s="233" customFormat="1">
      <c r="A144" s="77" t="s">
        <v>2212</v>
      </c>
      <c r="B144" s="182" t="str">
        <f>Language!A430</f>
        <v>Has the laboratory ever been enrolled in the SLIPTA program?</v>
      </c>
      <c r="C144" s="253"/>
      <c r="D144" s="425"/>
      <c r="E144" s="595"/>
      <c r="F144" s="596"/>
      <c r="G144" s="597"/>
      <c r="H144" s="234"/>
    </row>
    <row r="145" spans="1:8" s="233" customFormat="1">
      <c r="A145" s="77" t="s">
        <v>2213</v>
      </c>
      <c r="B145" s="151" t="str">
        <f>Language!A431</f>
        <v>If yes, when was the most recent certification awarded?</v>
      </c>
      <c r="C145" s="253"/>
      <c r="D145" s="425"/>
      <c r="E145" s="595"/>
      <c r="F145" s="596"/>
      <c r="G145" s="597"/>
      <c r="H145" s="234"/>
    </row>
    <row r="146" spans="1:8" s="233" customFormat="1" ht="15.6">
      <c r="A146" s="10"/>
      <c r="B146" s="542" t="str">
        <f>Language!A432</f>
        <v>1: Within the past 2 years - 2: More than 2 years ago - 3: NA</v>
      </c>
      <c r="C146" s="28"/>
      <c r="D146" s="181"/>
      <c r="E146" s="238"/>
      <c r="F146" s="239"/>
      <c r="G146" s="238"/>
    </row>
    <row r="147" spans="1:8" s="233" customFormat="1">
      <c r="A147" s="77" t="s">
        <v>2214</v>
      </c>
      <c r="B147" s="151" t="str">
        <f>Language!A433</f>
        <v>If yes, what is the star level of the latest SLIPTA audit?  Check the certificate.</v>
      </c>
      <c r="C147" s="254"/>
      <c r="D147" s="181"/>
      <c r="E147" s="595"/>
      <c r="F147" s="596"/>
      <c r="G147" s="597"/>
      <c r="H147" s="234"/>
    </row>
    <row r="148" spans="1:8" s="233" customFormat="1" ht="27.6" customHeight="1">
      <c r="A148" s="10"/>
      <c r="B148" s="542" t="str">
        <f>Language!A434</f>
        <v>(0: 0 stars; 1: 1 stars; 2: 2 stars, 3: 3 stars; 4: 4 stars; 5: 5 stars, NA)</v>
      </c>
      <c r="D148" s="181"/>
      <c r="E148" s="238"/>
      <c r="F148" s="239"/>
      <c r="G148" s="238"/>
    </row>
    <row r="149" spans="1:8" s="233" customFormat="1" ht="27.6" customHeight="1">
      <c r="A149" s="77" t="s">
        <v>2215</v>
      </c>
      <c r="B149" s="182" t="str">
        <f>Language!A435</f>
        <v>Has the laboratory ever been enrolled in the WHO LQSI program? What year?</v>
      </c>
      <c r="C149" s="253"/>
      <c r="D149" s="425"/>
      <c r="E149" s="595"/>
      <c r="F149" s="596"/>
      <c r="G149" s="597"/>
      <c r="H149" s="234"/>
    </row>
    <row r="150" spans="1:8" s="233" customFormat="1">
      <c r="A150" s="77" t="s">
        <v>2216</v>
      </c>
      <c r="B150" s="151" t="str">
        <f>Language!A436</f>
        <v>If yes, what was the last overall % score for the 4 phases? What year?</v>
      </c>
      <c r="C150" s="254"/>
      <c r="D150" s="425"/>
      <c r="E150" s="595"/>
      <c r="F150" s="596"/>
      <c r="G150" s="597"/>
      <c r="H150" s="234"/>
    </row>
    <row r="151" spans="1:8" s="233" customFormat="1">
      <c r="A151" s="10"/>
      <c r="B151" s="542" t="str">
        <f>Language!A437</f>
        <v>1: &gt;90%; 2: 70%-89%, 3: 50-69%, 4: &lt;50%, NA</v>
      </c>
      <c r="C151" s="180"/>
      <c r="D151" s="180"/>
      <c r="E151" s="180"/>
      <c r="F151" s="232"/>
      <c r="G151" s="180"/>
      <c r="H151" s="180"/>
    </row>
    <row r="152" spans="1:8" s="233" customFormat="1" ht="41.4" customHeight="1">
      <c r="A152" s="77" t="s">
        <v>2217</v>
      </c>
      <c r="B152" s="182" t="str">
        <f>Language!A438</f>
        <v>Has the laboratory ever been enrolled in any other mentoring program for Laboratory Quality Management (National, Regional, International)? When?</v>
      </c>
      <c r="C152" s="255"/>
      <c r="D152" s="425"/>
      <c r="E152" s="596"/>
      <c r="F152" s="596"/>
      <c r="G152" s="597"/>
      <c r="H152" s="234"/>
    </row>
    <row r="153" spans="1:8" s="233" customFormat="1" ht="16.2" thickBot="1">
      <c r="A153" s="10"/>
      <c r="B153" s="151"/>
      <c r="C153" s="22"/>
      <c r="D153" s="181"/>
      <c r="E153" s="235"/>
      <c r="F153" s="236"/>
      <c r="G153" s="235"/>
    </row>
    <row r="154" spans="1:8" s="233" customFormat="1" ht="14.4" thickBot="1">
      <c r="A154" s="166"/>
      <c r="B154" s="115" t="str">
        <f>Language!A439</f>
        <v>ACCREDITATION and CERTIFICATION</v>
      </c>
      <c r="C154" s="82"/>
      <c r="D154" s="82"/>
      <c r="E154" s="82"/>
      <c r="F154" s="82"/>
      <c r="G154" s="82"/>
    </row>
    <row r="155" spans="1:8" s="233" customFormat="1" ht="41.4" customHeight="1">
      <c r="A155" s="10"/>
      <c r="B155" s="182" t="str">
        <f>Language!A440</f>
        <v>Does the lab possess a valid (current) ISO 15189 accreditation certificate for any of the following tests? (Confirm by reviewing certificate)</v>
      </c>
      <c r="C155" s="511" t="str">
        <f>Language!A454</f>
        <v>Y/N</v>
      </c>
      <c r="D155" s="358" t="str">
        <f>Language!A460</f>
        <v>Year awarded</v>
      </c>
      <c r="E155" s="606" t="str">
        <f>E143</f>
        <v>Comments</v>
      </c>
      <c r="F155" s="606"/>
      <c r="G155" s="606"/>
    </row>
    <row r="156" spans="1:8" s="233" customFormat="1">
      <c r="A156" s="77" t="s">
        <v>2218</v>
      </c>
      <c r="B156" s="129" t="str">
        <f>Language!A441</f>
        <v>Blood cultures</v>
      </c>
      <c r="C156" s="254"/>
      <c r="D156" s="425"/>
      <c r="E156" s="603"/>
      <c r="F156" s="604"/>
      <c r="G156" s="605"/>
      <c r="H156" s="234"/>
    </row>
    <row r="157" spans="1:8" s="233" customFormat="1">
      <c r="A157" s="77" t="s">
        <v>2219</v>
      </c>
      <c r="B157" s="129" t="str">
        <f>Language!A442</f>
        <v>Stool cultures</v>
      </c>
      <c r="C157" s="254"/>
      <c r="D157" s="425"/>
      <c r="E157" s="603"/>
      <c r="F157" s="604"/>
      <c r="G157" s="605"/>
      <c r="H157" s="234"/>
    </row>
    <row r="158" spans="1:8" s="233" customFormat="1">
      <c r="A158" s="77" t="s">
        <v>2220</v>
      </c>
      <c r="B158" s="129" t="str">
        <f>Language!A443</f>
        <v>Urine cultures</v>
      </c>
      <c r="C158" s="254"/>
      <c r="D158" s="425"/>
      <c r="E158" s="603"/>
      <c r="F158" s="604"/>
      <c r="G158" s="605"/>
      <c r="H158" s="234"/>
    </row>
    <row r="159" spans="1:8" s="233" customFormat="1">
      <c r="A159" s="77" t="s">
        <v>2221</v>
      </c>
      <c r="B159" s="129" t="str">
        <f>Language!A444</f>
        <v>Organism Identification</v>
      </c>
      <c r="C159" s="254"/>
      <c r="D159" s="425"/>
      <c r="E159" s="603"/>
      <c r="F159" s="604"/>
      <c r="G159" s="605"/>
      <c r="H159" s="234"/>
    </row>
    <row r="160" spans="1:8" s="233" customFormat="1">
      <c r="A160" s="77" t="s">
        <v>2222</v>
      </c>
      <c r="B160" s="129" t="str">
        <f>Language!A445</f>
        <v>Antibiotic Susceptibility Testing</v>
      </c>
      <c r="C160" s="254"/>
      <c r="D160" s="425"/>
      <c r="E160" s="603"/>
      <c r="F160" s="604"/>
      <c r="G160" s="605"/>
      <c r="H160" s="234"/>
    </row>
    <row r="161" spans="1:8" s="233" customFormat="1">
      <c r="A161" s="77" t="s">
        <v>2223</v>
      </c>
      <c r="B161" s="129" t="str">
        <f>Language!A446</f>
        <v>Any other microbiology applied technique such as Gram staining?</v>
      </c>
      <c r="C161" s="254"/>
      <c r="D161" s="425"/>
      <c r="E161" s="603"/>
      <c r="F161" s="604"/>
      <c r="G161" s="605"/>
      <c r="H161" s="234"/>
    </row>
    <row r="162" spans="1:8" s="233" customFormat="1" ht="41.4" customHeight="1">
      <c r="A162" s="77" t="s">
        <v>2224</v>
      </c>
      <c r="B162" s="182" t="str">
        <f>Language!A447</f>
        <v xml:space="preserve">Who awarded the most recent accreditation? (Review accreditation certificate and write name of accrediting body in comments) </v>
      </c>
      <c r="C162" s="253"/>
      <c r="D162" s="426"/>
      <c r="E162" s="603"/>
      <c r="F162" s="604"/>
      <c r="G162" s="605"/>
      <c r="H162" s="234"/>
    </row>
    <row r="163" spans="1:8" s="233" customFormat="1" ht="41.4" customHeight="1">
      <c r="A163" s="10"/>
      <c r="B163" s="88" t="str">
        <f>Language!A448</f>
        <v>1: ILAC Full Member; 2: ILAC Associate Member; 3: ILAC Affiliate Member;  4: ILAC Stakeholder; 5: ILAC Regional Cooperation Body; 6: Other/Don't know; 7: National Accrediting Board; NA</v>
      </c>
      <c r="C163" s="19"/>
      <c r="E163" s="19"/>
      <c r="F163" s="19"/>
      <c r="G163" s="19"/>
    </row>
    <row r="164" spans="1:8" s="233" customFormat="1">
      <c r="A164" s="10"/>
      <c r="B164" s="54" t="str">
        <f>Language!A449</f>
        <v>(ILAC = International Laboratory Accreditation Cooperation)</v>
      </c>
      <c r="C164" s="181"/>
      <c r="E164" s="181"/>
      <c r="F164" s="181"/>
      <c r="G164" s="181"/>
    </row>
    <row r="165" spans="1:8" s="233" customFormat="1">
      <c r="A165" s="10"/>
      <c r="B165" s="355" t="s">
        <v>1913</v>
      </c>
      <c r="C165" s="181"/>
      <c r="E165" s="181"/>
      <c r="F165" s="181"/>
      <c r="G165" s="181"/>
    </row>
    <row r="166" spans="1:8">
      <c r="F166" s="62"/>
    </row>
    <row r="167" spans="1:8">
      <c r="F167" s="62"/>
    </row>
    <row r="168" spans="1:8">
      <c r="F168" s="62"/>
    </row>
    <row r="169" spans="1:8">
      <c r="F169" s="62"/>
    </row>
    <row r="170" spans="1:8">
      <c r="F170" s="62"/>
    </row>
    <row r="171" spans="1:8">
      <c r="F171" s="62"/>
    </row>
    <row r="172" spans="1:8">
      <c r="F172" s="62"/>
    </row>
    <row r="173" spans="1:8">
      <c r="F173" s="62"/>
    </row>
    <row r="174" spans="1:8">
      <c r="F174" s="62"/>
    </row>
    <row r="175" spans="1:8">
      <c r="F175" s="62"/>
    </row>
    <row r="176" spans="1:8">
      <c r="F176" s="62"/>
    </row>
    <row r="177" spans="6:6">
      <c r="F177" s="62"/>
    </row>
    <row r="178" spans="6:6">
      <c r="F178" s="62"/>
    </row>
    <row r="179" spans="6:6">
      <c r="F179" s="62"/>
    </row>
    <row r="180" spans="6:6">
      <c r="F180" s="62"/>
    </row>
    <row r="181" spans="6:6">
      <c r="F181" s="62"/>
    </row>
    <row r="182" spans="6:6">
      <c r="F182" s="62"/>
    </row>
    <row r="183" spans="6:6">
      <c r="F183" s="62"/>
    </row>
    <row r="184" spans="6:6">
      <c r="F184" s="62"/>
    </row>
    <row r="185" spans="6:6">
      <c r="F185" s="62"/>
    </row>
    <row r="186" spans="6:6">
      <c r="F186" s="62"/>
    </row>
    <row r="187" spans="6:6">
      <c r="F187" s="62"/>
    </row>
    <row r="188" spans="6:6">
      <c r="F188" s="62"/>
    </row>
    <row r="189" spans="6:6">
      <c r="F189" s="62"/>
    </row>
    <row r="190" spans="6:6">
      <c r="F190" s="62"/>
    </row>
    <row r="191" spans="6:6">
      <c r="F191" s="62"/>
    </row>
    <row r="192" spans="6:6">
      <c r="F192" s="62"/>
    </row>
    <row r="193" spans="6:6">
      <c r="F193" s="62"/>
    </row>
    <row r="194" spans="6:6">
      <c r="F194" s="62"/>
    </row>
    <row r="195" spans="6:6">
      <c r="F195" s="62"/>
    </row>
    <row r="196" spans="6:6">
      <c r="F196" s="62"/>
    </row>
    <row r="197" spans="6:6">
      <c r="F197" s="62"/>
    </row>
    <row r="198" spans="6:6">
      <c r="F198" s="62"/>
    </row>
    <row r="199" spans="6:6">
      <c r="F199" s="62"/>
    </row>
    <row r="200" spans="6:6">
      <c r="F200" s="62"/>
    </row>
    <row r="201" spans="6:6">
      <c r="F201" s="62"/>
    </row>
    <row r="202" spans="6:6">
      <c r="F202" s="62"/>
    </row>
    <row r="203" spans="6:6">
      <c r="F203" s="62"/>
    </row>
    <row r="204" spans="6:6">
      <c r="F204" s="62"/>
    </row>
    <row r="205" spans="6:6">
      <c r="F205" s="62"/>
    </row>
    <row r="206" spans="6:6">
      <c r="F206" s="62"/>
    </row>
    <row r="207" spans="6:6">
      <c r="F207" s="62"/>
    </row>
    <row r="208" spans="6:6">
      <c r="F208" s="62"/>
    </row>
    <row r="209" spans="6:6">
      <c r="F209" s="62"/>
    </row>
    <row r="210" spans="6:6">
      <c r="F210" s="62"/>
    </row>
    <row r="211" spans="6:6">
      <c r="F211" s="62"/>
    </row>
    <row r="212" spans="6:6">
      <c r="F212" s="62"/>
    </row>
    <row r="213" spans="6:6">
      <c r="F213" s="62"/>
    </row>
    <row r="214" spans="6:6">
      <c r="F214" s="62"/>
    </row>
    <row r="215" spans="6:6">
      <c r="F215" s="62"/>
    </row>
    <row r="216" spans="6:6">
      <c r="F216" s="62"/>
    </row>
    <row r="217" spans="6:6">
      <c r="F217" s="62"/>
    </row>
    <row r="218" spans="6:6">
      <c r="F218" s="62"/>
    </row>
    <row r="219" spans="6:6">
      <c r="F219" s="62"/>
    </row>
    <row r="220" spans="6:6">
      <c r="F220" s="62"/>
    </row>
    <row r="221" spans="6:6">
      <c r="F221" s="62"/>
    </row>
    <row r="222" spans="6:6">
      <c r="F222" s="62"/>
    </row>
    <row r="223" spans="6:6">
      <c r="F223" s="62"/>
    </row>
    <row r="224" spans="6:6">
      <c r="F224" s="62"/>
    </row>
    <row r="225" spans="6:6">
      <c r="F225" s="62"/>
    </row>
    <row r="226" spans="6:6">
      <c r="F226" s="62"/>
    </row>
    <row r="227" spans="6:6">
      <c r="F227" s="62"/>
    </row>
    <row r="228" spans="6:6">
      <c r="F228" s="62"/>
    </row>
    <row r="229" spans="6:6">
      <c r="F229" s="62"/>
    </row>
    <row r="230" spans="6:6">
      <c r="F230" s="62"/>
    </row>
    <row r="231" spans="6:6">
      <c r="F231" s="62"/>
    </row>
    <row r="232" spans="6:6">
      <c r="F232" s="62"/>
    </row>
    <row r="233" spans="6:6">
      <c r="F233" s="62"/>
    </row>
    <row r="234" spans="6:6">
      <c r="F234" s="62"/>
    </row>
  </sheetData>
  <sheetProtection algorithmName="SHA-256" hashValue="AB0yxy+K34LDseGe+92xZV4WIE7vhqZeLsy3cVzV4Tg=" saltValue="YzBoHHlOjDIsYy1bH8k3Rw==" spinCount="100000" sheet="1" selectLockedCells="1"/>
  <dataConsolidate/>
  <mergeCells count="119">
    <mergeCell ref="C11:G11"/>
    <mergeCell ref="C8:G8"/>
    <mergeCell ref="C9:G9"/>
    <mergeCell ref="C10:G10"/>
    <mergeCell ref="C12:G12"/>
    <mergeCell ref="C13:G13"/>
    <mergeCell ref="C6:G6"/>
    <mergeCell ref="C7:G7"/>
    <mergeCell ref="C18:D18"/>
    <mergeCell ref="E59:G59"/>
    <mergeCell ref="E29:F29"/>
    <mergeCell ref="E72:G72"/>
    <mergeCell ref="E73:G73"/>
    <mergeCell ref="E74:G74"/>
    <mergeCell ref="E75:G75"/>
    <mergeCell ref="E66:G66"/>
    <mergeCell ref="E68:G68"/>
    <mergeCell ref="E69:G69"/>
    <mergeCell ref="E70:G70"/>
    <mergeCell ref="E60:G60"/>
    <mergeCell ref="E62:G62"/>
    <mergeCell ref="E63:G63"/>
    <mergeCell ref="E64:G64"/>
    <mergeCell ref="C4:G4"/>
    <mergeCell ref="C5:G5"/>
    <mergeCell ref="E67:G67"/>
    <mergeCell ref="C22:D22"/>
    <mergeCell ref="C23:D23"/>
    <mergeCell ref="E22:F22"/>
    <mergeCell ref="E23:F23"/>
    <mergeCell ref="C24:D24"/>
    <mergeCell ref="E24:F24"/>
    <mergeCell ref="C25:D25"/>
    <mergeCell ref="E25:F25"/>
    <mergeCell ref="C26:D26"/>
    <mergeCell ref="E26:F26"/>
    <mergeCell ref="C27:D27"/>
    <mergeCell ref="E27:F27"/>
    <mergeCell ref="C28:D28"/>
    <mergeCell ref="B15:G15"/>
    <mergeCell ref="C16:D16"/>
    <mergeCell ref="C21:D21"/>
    <mergeCell ref="E21:F21"/>
    <mergeCell ref="E28:F28"/>
    <mergeCell ref="C29:D29"/>
    <mergeCell ref="C17:D17"/>
    <mergeCell ref="B20:G20"/>
    <mergeCell ref="E112:G112"/>
    <mergeCell ref="E113:G113"/>
    <mergeCell ref="E101:G101"/>
    <mergeCell ref="E103:G103"/>
    <mergeCell ref="E104:G104"/>
    <mergeCell ref="E105:G105"/>
    <mergeCell ref="E106:G106"/>
    <mergeCell ref="E94:G94"/>
    <mergeCell ref="E96:G96"/>
    <mergeCell ref="E97:G97"/>
    <mergeCell ref="E98:G98"/>
    <mergeCell ref="E99:G99"/>
    <mergeCell ref="E129:G129"/>
    <mergeCell ref="E130:G130"/>
    <mergeCell ref="E121:G121"/>
    <mergeCell ref="E122:G122"/>
    <mergeCell ref="E123:G123"/>
    <mergeCell ref="E124:G124"/>
    <mergeCell ref="E125:G125"/>
    <mergeCell ref="E114:G114"/>
    <mergeCell ref="E115:G115"/>
    <mergeCell ref="E116:G116"/>
    <mergeCell ref="E117:G117"/>
    <mergeCell ref="E120:G120"/>
    <mergeCell ref="E159:G159"/>
    <mergeCell ref="E160:G160"/>
    <mergeCell ref="E161:G161"/>
    <mergeCell ref="E162:G162"/>
    <mergeCell ref="E31:G31"/>
    <mergeCell ref="E36:G36"/>
    <mergeCell ref="E44:G44"/>
    <mergeCell ref="E50:G50"/>
    <mergeCell ref="E56:G56"/>
    <mergeCell ref="E152:G152"/>
    <mergeCell ref="E155:G155"/>
    <mergeCell ref="E156:G156"/>
    <mergeCell ref="E157:G157"/>
    <mergeCell ref="E158:G158"/>
    <mergeCell ref="E147:G147"/>
    <mergeCell ref="E149:G149"/>
    <mergeCell ref="E150:G150"/>
    <mergeCell ref="E131:G131"/>
    <mergeCell ref="E143:G143"/>
    <mergeCell ref="E144:G144"/>
    <mergeCell ref="E145:G145"/>
    <mergeCell ref="E126:G126"/>
    <mergeCell ref="E127:G127"/>
    <mergeCell ref="E128:G128"/>
    <mergeCell ref="B87:D87"/>
    <mergeCell ref="B95:D95"/>
    <mergeCell ref="B102:D102"/>
    <mergeCell ref="B111:D111"/>
    <mergeCell ref="B61:D61"/>
    <mergeCell ref="B65:D65"/>
    <mergeCell ref="E107:G107"/>
    <mergeCell ref="E108:G108"/>
    <mergeCell ref="E110:G110"/>
    <mergeCell ref="E88:G88"/>
    <mergeCell ref="E89:G89"/>
    <mergeCell ref="E90:G90"/>
    <mergeCell ref="E91:G91"/>
    <mergeCell ref="E92:G92"/>
    <mergeCell ref="E81:G81"/>
    <mergeCell ref="E82:G82"/>
    <mergeCell ref="E83:G83"/>
    <mergeCell ref="E86:G86"/>
    <mergeCell ref="E76:G76"/>
    <mergeCell ref="E77:G77"/>
    <mergeCell ref="E78:G78"/>
    <mergeCell ref="E79:G79"/>
    <mergeCell ref="E80:G80"/>
    <mergeCell ref="E71:G71"/>
  </mergeCells>
  <phoneticPr fontId="46" type="noConversion"/>
  <conditionalFormatting sqref="J85">
    <cfRule type="containsText" dxfId="2017" priority="56" stopIfTrue="1" operator="containsText" text="RED FLAG">
      <formula>NOT(ISERROR(SEARCH("RED FLAG",J85)))</formula>
    </cfRule>
  </conditionalFormatting>
  <conditionalFormatting sqref="C85 E85:G85 E119:G119">
    <cfRule type="cellIs" dxfId="2016" priority="37" stopIfTrue="1" operator="greaterThanOrEqual">
      <formula>0.8</formula>
    </cfRule>
    <cfRule type="cellIs" dxfId="2015" priority="38" stopIfTrue="1" operator="between">
      <formula>0.5</formula>
      <formula>0.799</formula>
    </cfRule>
    <cfRule type="cellIs" dxfId="2014" priority="39" stopIfTrue="1" operator="lessThan">
      <formula>0.5</formula>
    </cfRule>
  </conditionalFormatting>
  <conditionalFormatting sqref="C59">
    <cfRule type="cellIs" dxfId="2013" priority="34" stopIfTrue="1" operator="greaterThanOrEqual">
      <formula>0.8</formula>
    </cfRule>
    <cfRule type="cellIs" dxfId="2012" priority="35" stopIfTrue="1" operator="between">
      <formula>0.5</formula>
      <formula>0.799</formula>
    </cfRule>
    <cfRule type="cellIs" dxfId="2011" priority="36" stopIfTrue="1" operator="lessThan">
      <formula>0.5</formula>
    </cfRule>
  </conditionalFormatting>
  <conditionalFormatting sqref="J119">
    <cfRule type="cellIs" dxfId="2010" priority="31" stopIfTrue="1" operator="lessThan">
      <formula>0.5</formula>
    </cfRule>
    <cfRule type="cellIs" dxfId="2009" priority="32" stopIfTrue="1" operator="between">
      <formula>0.5</formula>
      <formula>0.75</formula>
    </cfRule>
    <cfRule type="cellIs" dxfId="2008" priority="33" stopIfTrue="1" operator="greaterThan">
      <formula>0.75</formula>
    </cfRule>
  </conditionalFormatting>
  <conditionalFormatting sqref="J119">
    <cfRule type="containsText" dxfId="2007" priority="30" stopIfTrue="1" operator="containsText" text="RED FLAG">
      <formula>NOT(ISERROR(SEARCH("RED FLAG",J119)))</formula>
    </cfRule>
  </conditionalFormatting>
  <conditionalFormatting sqref="J128:J131">
    <cfRule type="cellIs" dxfId="2006" priority="27" stopIfTrue="1" operator="lessThan">
      <formula>0.5</formula>
    </cfRule>
    <cfRule type="cellIs" dxfId="2005" priority="28" stopIfTrue="1" operator="between">
      <formula>0.5</formula>
      <formula>0.75</formula>
    </cfRule>
    <cfRule type="cellIs" dxfId="2004" priority="29" stopIfTrue="1" operator="greaterThan">
      <formula>0.75</formula>
    </cfRule>
  </conditionalFormatting>
  <conditionalFormatting sqref="J128:J131">
    <cfRule type="containsText" dxfId="2003" priority="26" stopIfTrue="1" operator="containsText" text="RED FLAG">
      <formula>NOT(ISERROR(SEARCH("RED FLAG",J128)))</formula>
    </cfRule>
  </conditionalFormatting>
  <conditionalFormatting sqref="C119">
    <cfRule type="cellIs" dxfId="2002" priority="22" stopIfTrue="1" operator="greaterThanOrEqual">
      <formula>0.8</formula>
    </cfRule>
    <cfRule type="cellIs" dxfId="2001" priority="23" stopIfTrue="1" operator="between">
      <formula>0.5</formula>
      <formula>0.799</formula>
    </cfRule>
    <cfRule type="cellIs" dxfId="2000" priority="24" stopIfTrue="1" operator="lessThan">
      <formula>0.5</formula>
    </cfRule>
  </conditionalFormatting>
  <conditionalFormatting sqref="C154">
    <cfRule type="cellIs" dxfId="1999" priority="19" stopIfTrue="1" operator="greaterThanOrEqual">
      <formula>0.8</formula>
    </cfRule>
    <cfRule type="cellIs" dxfId="1998" priority="20" stopIfTrue="1" operator="between">
      <formula>0.5</formula>
      <formula>0.799</formula>
    </cfRule>
    <cfRule type="cellIs" dxfId="1997" priority="21" stopIfTrue="1" operator="lessThan">
      <formula>0.5</formula>
    </cfRule>
  </conditionalFormatting>
  <conditionalFormatting sqref="C142">
    <cfRule type="cellIs" dxfId="1996" priority="16" stopIfTrue="1" operator="greaterThanOrEqual">
      <formula>0.8</formula>
    </cfRule>
    <cfRule type="cellIs" dxfId="1995" priority="17" stopIfTrue="1" operator="between">
      <formula>0.5</formula>
      <formula>0.799</formula>
    </cfRule>
    <cfRule type="cellIs" dxfId="1994" priority="18" stopIfTrue="1" operator="lessThan">
      <formula>0.5</formula>
    </cfRule>
  </conditionalFormatting>
  <conditionalFormatting sqref="D85">
    <cfRule type="cellIs" dxfId="1993" priority="13" stopIfTrue="1" operator="greaterThanOrEqual">
      <formula>0.8</formula>
    </cfRule>
    <cfRule type="cellIs" dxfId="1992" priority="14" stopIfTrue="1" operator="between">
      <formula>0.5</formula>
      <formula>0.799</formula>
    </cfRule>
    <cfRule type="cellIs" dxfId="1991" priority="15" stopIfTrue="1" operator="lessThan">
      <formula>0.5</formula>
    </cfRule>
  </conditionalFormatting>
  <conditionalFormatting sqref="D59">
    <cfRule type="cellIs" dxfId="1990" priority="10" stopIfTrue="1" operator="greaterThanOrEqual">
      <formula>0.8</formula>
    </cfRule>
    <cfRule type="cellIs" dxfId="1989" priority="11" stopIfTrue="1" operator="between">
      <formula>0.5</formula>
      <formula>0.799</formula>
    </cfRule>
    <cfRule type="cellIs" dxfId="1988" priority="12" stopIfTrue="1" operator="lessThan">
      <formula>0.5</formula>
    </cfRule>
  </conditionalFormatting>
  <conditionalFormatting sqref="D119">
    <cfRule type="cellIs" dxfId="1987" priority="7" stopIfTrue="1" operator="greaterThanOrEqual">
      <formula>0.8</formula>
    </cfRule>
    <cfRule type="cellIs" dxfId="1986" priority="8" stopIfTrue="1" operator="between">
      <formula>0.5</formula>
      <formula>0.799</formula>
    </cfRule>
    <cfRule type="cellIs" dxfId="1985" priority="9" stopIfTrue="1" operator="lessThan">
      <formula>0.5</formula>
    </cfRule>
  </conditionalFormatting>
  <conditionalFormatting sqref="D154:G154">
    <cfRule type="cellIs" dxfId="1984" priority="4" stopIfTrue="1" operator="greaterThanOrEqual">
      <formula>0.8</formula>
    </cfRule>
    <cfRule type="cellIs" dxfId="1983" priority="5" stopIfTrue="1" operator="between">
      <formula>0.5</formula>
      <formula>0.799</formula>
    </cfRule>
    <cfRule type="cellIs" dxfId="1982" priority="6" stopIfTrue="1" operator="lessThan">
      <formula>0.5</formula>
    </cfRule>
  </conditionalFormatting>
  <conditionalFormatting sqref="D142:G142">
    <cfRule type="cellIs" dxfId="1981" priority="1" stopIfTrue="1" operator="greaterThanOrEqual">
      <formula>0.8</formula>
    </cfRule>
    <cfRule type="cellIs" dxfId="1980" priority="2" stopIfTrue="1" operator="between">
      <formula>0.5</formula>
      <formula>0.799</formula>
    </cfRule>
    <cfRule type="cellIs" dxfId="1979" priority="3" stopIfTrue="1" operator="lessThan">
      <formula>0.5</formula>
    </cfRule>
  </conditionalFormatting>
  <dataValidations count="10">
    <dataValidation type="list" allowBlank="1" showInputMessage="1" showErrorMessage="1" sqref="C56" xr:uid="{00000000-0002-0000-0400-000000000000}">
      <formula1>"&lt;100,100-499,500-1000,&gt;1000,NA"</formula1>
    </dataValidation>
    <dataValidation type="list" allowBlank="1" showInputMessage="1" showErrorMessage="1" sqref="C31" xr:uid="{00000000-0002-0000-0400-000001000000}">
      <formula1>"1,2,3,4"</formula1>
    </dataValidation>
    <dataValidation type="list" allowBlank="1" showInputMessage="1" showErrorMessage="1" sqref="C36" xr:uid="{00000000-0002-0000-0400-000002000000}">
      <formula1>"1,2,3,4,5,6,7"</formula1>
    </dataValidation>
    <dataValidation type="list" allowBlank="1" showInputMessage="1" showErrorMessage="1" sqref="C44 C50" xr:uid="{00000000-0002-0000-0400-000003000000}">
      <formula1>"1,2,3,4,5"</formula1>
    </dataValidation>
    <dataValidation type="list" allowBlank="1" showInputMessage="1" showErrorMessage="1" sqref="C112:C117 C121:C131 C144 C156:C161 C103:C108 C88:C92 C149 C152 C96:C99" xr:uid="{00000000-0002-0000-0400-000004000000}">
      <formula1>"Yes,No"</formula1>
    </dataValidation>
    <dataValidation type="list" allowBlank="1" showInputMessage="1" showErrorMessage="1" sqref="C62:C64 C66:C83" xr:uid="{00000000-0002-0000-0400-000005000000}">
      <formula1>"Y,N"</formula1>
    </dataValidation>
    <dataValidation type="list" allowBlank="1" showInputMessage="1" showErrorMessage="1" sqref="C145" xr:uid="{00000000-0002-0000-0400-000006000000}">
      <formula1>"1,2,NA"</formula1>
    </dataValidation>
    <dataValidation type="list" allowBlank="1" showInputMessage="1" showErrorMessage="1" sqref="C147" xr:uid="{00000000-0002-0000-0400-000007000000}">
      <formula1>"0,1,2,3,4,5,NA"</formula1>
    </dataValidation>
    <dataValidation type="list" allowBlank="1" showInputMessage="1" showErrorMessage="1" sqref="C162" xr:uid="{00000000-0002-0000-0400-000008000000}">
      <formula1>"1,2,3,4,5,6,7,NA"</formula1>
    </dataValidation>
    <dataValidation type="list" allowBlank="1" showInputMessage="1" showErrorMessage="1" sqref="C150" xr:uid="{00000000-0002-0000-0400-000009000000}">
      <formula1>"0,1,2,3,4,NA"</formula1>
    </dataValidation>
  </dataValidations>
  <hyperlinks>
    <hyperlink ref="B165" r:id="rId1" location="elementid" display="https://ilac.org/signatory-search/ - elementid" xr:uid="{00000000-0004-0000-0400-000000000000}"/>
  </hyperlinks>
  <pageMargins left="0.25" right="0.25" top="0.75000000000000011" bottom="0.75000000000000011" header="0.30000000000000004" footer="0.30000000000000004"/>
  <pageSetup paperSize="9" fitToHeight="6" orientation="landscape" r:id="rId2"/>
  <headerFooter>
    <oddFooter>&amp;C&amp;A-&amp;P</oddFooter>
  </headerFooter>
  <rowBreaks count="6" manualBreakCount="6">
    <brk id="29" max="6" man="1"/>
    <brk id="57" max="6" man="1"/>
    <brk id="84" max="6" man="1"/>
    <brk id="108" max="6" man="1"/>
    <brk id="118" max="6" man="1"/>
    <brk id="1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70C0"/>
  </sheetPr>
  <dimension ref="A1:K185"/>
  <sheetViews>
    <sheetView zoomScaleNormal="100" zoomScalePageLayoutView="80" workbookViewId="0">
      <selection activeCell="C5" sqref="C5"/>
    </sheetView>
  </sheetViews>
  <sheetFormatPr defaultColWidth="11" defaultRowHeight="15.6"/>
  <cols>
    <col min="1" max="1" width="4.69921875" style="12" customWidth="1"/>
    <col min="2" max="2" width="82.19921875" style="13" customWidth="1"/>
    <col min="3" max="3" width="5.5" style="15" customWidth="1"/>
    <col min="4" max="4" width="3.69921875" style="201" customWidth="1"/>
    <col min="5" max="5" width="3.69921875" style="22" hidden="1" customWidth="1"/>
    <col min="6" max="6" width="5.19921875" style="22" hidden="1" customWidth="1"/>
    <col min="7" max="7" width="5.19921875" style="22" customWidth="1"/>
    <col min="8" max="8" width="37.69921875" style="265" customWidth="1"/>
    <col min="9" max="9" width="9.69921875" style="22" customWidth="1"/>
    <col min="10" max="11" width="11" style="201"/>
    <col min="12" max="16384" width="11" style="22"/>
  </cols>
  <sheetData>
    <row r="1" spans="1:9">
      <c r="A1" s="16"/>
      <c r="B1" s="11" t="str">
        <f>Language!A461</f>
        <v>1- FACILITY</v>
      </c>
      <c r="C1" s="52" t="str">
        <f>IF(COUNT(G3:G323)=0,"???",AVERAGE(G3:G323))</f>
        <v>???</v>
      </c>
      <c r="E1" s="201"/>
      <c r="F1" s="201"/>
      <c r="G1" s="201"/>
      <c r="H1" s="264" t="str">
        <f>Language!A453</f>
        <v>Comments</v>
      </c>
      <c r="I1" s="201"/>
    </row>
    <row r="2" spans="1:9" ht="16.2" thickBot="1">
      <c r="A2" s="16"/>
      <c r="B2" s="210" t="str">
        <f>Language!A462</f>
        <v>Please note: all questions refer to equipment that is used for clinical patient specimens, NOT equipment that is used only for research specimens</v>
      </c>
      <c r="E2" s="201"/>
      <c r="F2" s="201"/>
      <c r="G2" s="201"/>
      <c r="I2" s="201"/>
    </row>
    <row r="3" spans="1:9" ht="16.2" thickBot="1">
      <c r="A3" s="165"/>
      <c r="B3" s="14" t="str">
        <f>Language!A463</f>
        <v>LABORATORY FACILITY</v>
      </c>
      <c r="C3" s="47" t="str">
        <f>IF(COUNTBLANK(C5:C17)=13,"???",IF(COUNT(G5:G17)=0,"NA",AVERAGE(G5:G17)))</f>
        <v>???</v>
      </c>
      <c r="E3" s="201"/>
      <c r="F3" s="208"/>
      <c r="G3" s="201"/>
      <c r="H3" s="432"/>
      <c r="I3" s="201"/>
    </row>
    <row r="4" spans="1:9">
      <c r="A4" s="16"/>
      <c r="B4" s="8" t="str">
        <f>Language!A464</f>
        <v>Observe the laboratory work benches, are they:</v>
      </c>
      <c r="E4" s="201"/>
      <c r="F4" s="201"/>
      <c r="G4" s="201"/>
      <c r="I4" s="201"/>
    </row>
    <row r="5" spans="1:9">
      <c r="A5" s="257" t="s">
        <v>344</v>
      </c>
      <c r="B5" s="256" t="str">
        <f>Language!A465</f>
        <v>Separate from patient care areas</v>
      </c>
      <c r="C5" s="427"/>
      <c r="F5" s="23">
        <f t="shared" ref="F5:F15" si="0">C5</f>
        <v>0</v>
      </c>
      <c r="G5" s="18" t="str">
        <f t="shared" ref="G5:G11" si="1">IF(F5="Yes",1,IF(F5="No",0,"'"))</f>
        <v>'</v>
      </c>
      <c r="H5" s="429"/>
    </row>
    <row r="6" spans="1:9">
      <c r="A6" s="257" t="s">
        <v>345</v>
      </c>
      <c r="B6" s="256" t="str">
        <f>Language!A466</f>
        <v>Organized with minimal clutter?</v>
      </c>
      <c r="C6" s="427"/>
      <c r="F6" s="23">
        <f t="shared" si="0"/>
        <v>0</v>
      </c>
      <c r="G6" s="18" t="str">
        <f t="shared" si="1"/>
        <v>'</v>
      </c>
      <c r="H6" s="430"/>
    </row>
    <row r="7" spans="1:9">
      <c r="A7" s="257" t="s">
        <v>346</v>
      </c>
      <c r="B7" s="256" t="str">
        <f>Language!A467</f>
        <v>Adequately ventilated?</v>
      </c>
      <c r="C7" s="427"/>
      <c r="F7" s="23">
        <f t="shared" si="0"/>
        <v>0</v>
      </c>
      <c r="G7" s="18" t="str">
        <f t="shared" si="1"/>
        <v>'</v>
      </c>
      <c r="H7" s="430"/>
    </row>
    <row r="8" spans="1:9">
      <c r="A8" s="257" t="s">
        <v>347</v>
      </c>
      <c r="B8" s="256" t="str">
        <f>Language!A468</f>
        <v>Free of excess moisture?</v>
      </c>
      <c r="C8" s="427"/>
      <c r="F8" s="23">
        <f t="shared" si="0"/>
        <v>0</v>
      </c>
      <c r="G8" s="18" t="str">
        <f t="shared" si="1"/>
        <v>'</v>
      </c>
      <c r="H8" s="430"/>
    </row>
    <row r="9" spans="1:9">
      <c r="A9" s="257" t="s">
        <v>348</v>
      </c>
      <c r="B9" s="256" t="str">
        <f>Language!A469</f>
        <v>Adequately lit?</v>
      </c>
      <c r="C9" s="427"/>
      <c r="F9" s="23">
        <f t="shared" si="0"/>
        <v>0</v>
      </c>
      <c r="G9" s="18" t="str">
        <f t="shared" si="1"/>
        <v>'</v>
      </c>
      <c r="H9" s="430"/>
    </row>
    <row r="10" spans="1:9">
      <c r="A10" s="257" t="s">
        <v>349</v>
      </c>
      <c r="B10" s="169" t="str">
        <f>Language!A470</f>
        <v>Does the laboratory have a functional heating/air conditioning system?</v>
      </c>
      <c r="C10" s="427"/>
      <c r="F10" s="23">
        <f t="shared" si="0"/>
        <v>0</v>
      </c>
      <c r="G10" s="18" t="str">
        <f t="shared" si="1"/>
        <v>'</v>
      </c>
      <c r="H10" s="430"/>
    </row>
    <row r="11" spans="1:9">
      <c r="A11" s="257" t="s">
        <v>350</v>
      </c>
      <c r="B11" s="169" t="str">
        <f>Language!A471</f>
        <v>Is the temperature in the laboratory maintained between 20°-25°C?</v>
      </c>
      <c r="C11" s="427"/>
      <c r="F11" s="23">
        <f t="shared" si="0"/>
        <v>0</v>
      </c>
      <c r="G11" s="18" t="str">
        <f t="shared" si="1"/>
        <v>'</v>
      </c>
      <c r="H11" s="430"/>
    </row>
    <row r="12" spans="1:9" ht="27.6">
      <c r="A12" s="257" t="s">
        <v>351</v>
      </c>
      <c r="B12" s="172" t="str">
        <f>Language!A472</f>
        <v>Are all critical equipment (instruments, refrigerators, freezers, incubators, computers, automated instruments) supported by a functioning generator?</v>
      </c>
      <c r="C12" s="427"/>
      <c r="F12" s="23">
        <f t="shared" si="0"/>
        <v>0</v>
      </c>
      <c r="G12" s="18" t="str">
        <f>IF(F12="Yes",1,IF(F12="Partial",0.5,IF(F12="No",0,"'")))</f>
        <v>'</v>
      </c>
      <c r="H12" s="431"/>
      <c r="I12" s="513"/>
    </row>
    <row r="13" spans="1:9" ht="27.6">
      <c r="A13" s="257" t="s">
        <v>1008</v>
      </c>
      <c r="B13" s="172" t="str">
        <f>Language!A473</f>
        <v>Are all critical pieces of equipment attached to uninterrupted power source (UPS) devices? (These provide temporary power until the generator can be activated)</v>
      </c>
      <c r="C13" s="427"/>
      <c r="F13" s="23">
        <f t="shared" si="0"/>
        <v>0</v>
      </c>
      <c r="G13" s="18" t="str">
        <f>IF(F13="Yes",1,IF(F13="Partial",0.5,IF(F13="No",0,"'")))</f>
        <v>'</v>
      </c>
      <c r="H13" s="431"/>
      <c r="I13" s="513"/>
    </row>
    <row r="14" spans="1:9" ht="28.05" customHeight="1">
      <c r="A14" s="257" t="s">
        <v>352</v>
      </c>
      <c r="B14" s="568" t="str">
        <f>Language!A474</f>
        <v>In the last 6 months, has prolonged power failure disrupted the ability to provide routine bacteriology services?</v>
      </c>
      <c r="C14" s="427"/>
      <c r="F14" s="23">
        <f t="shared" si="0"/>
        <v>0</v>
      </c>
      <c r="G14" s="18" t="str">
        <f>IF(F14="No",1,IF(F14="Yes",0,"'"))</f>
        <v>'</v>
      </c>
      <c r="H14" s="429"/>
      <c r="I14" s="18" t="str">
        <f>IF(C14="Yes","System Flag","'")</f>
        <v>'</v>
      </c>
    </row>
    <row r="15" spans="1:9" ht="27.6">
      <c r="A15" s="257" t="s">
        <v>353</v>
      </c>
      <c r="B15" s="169" t="str">
        <f>Language!A475</f>
        <v>Is there a contingency plan in place for continued testing in the event of prolonged electricity disruption (e.g., power outage lasting several days)?</v>
      </c>
      <c r="C15" s="427"/>
      <c r="F15" s="23">
        <f t="shared" si="0"/>
        <v>0</v>
      </c>
      <c r="G15" s="18" t="str">
        <f t="shared" ref="G15" si="2">IF(F15="Yes",1,IF(F15="No",0,"'"))</f>
        <v>'</v>
      </c>
      <c r="H15" s="430"/>
    </row>
    <row r="16" spans="1:9" ht="45" customHeight="1">
      <c r="A16" s="16"/>
      <c r="B16" s="640" t="str">
        <f>Language!A476</f>
        <v>Standard: ISO 15189: 5.2.5 &amp; 5.2.10 The laboratory space should be sufficient to ensure that the quality of work, the safety of personnel, and the ability of staff to carry out quality control procedures and documentation. The laboratory should be clean and well organized, free of clutter, well-ventilated, adequately lit, and within acceptable temperature ranges. Emergency power should be available for sensitive instruments, temperature controlled storage, and other essential equipment to prevent damage and disruption due to unexpected power fluctuations and outages. Sensitive instruments should be equipped with surge controls. Distilled and de-ionized water should be available, if required.</v>
      </c>
      <c r="C16" s="641"/>
      <c r="D16" s="641"/>
      <c r="E16" s="641"/>
      <c r="F16" s="641"/>
      <c r="G16" s="641"/>
      <c r="H16" s="641"/>
    </row>
    <row r="17" spans="1:11">
      <c r="A17" s="257" t="s">
        <v>354</v>
      </c>
      <c r="B17" s="172" t="str">
        <f>Language!A477</f>
        <v>Describe the internet service in the laboratory</v>
      </c>
      <c r="C17" s="427"/>
      <c r="F17" s="23">
        <f>C17</f>
        <v>0</v>
      </c>
      <c r="G17" s="18" t="str">
        <f>IF(F17=1,1,IF(F17=2,0.5,IF(F17=3,0,"'")))</f>
        <v>'</v>
      </c>
      <c r="H17" s="428"/>
      <c r="I17" s="183" t="str">
        <f>IF(C17=2,"System Flag",IF(C17=3,"System Flag","'"))</f>
        <v>'</v>
      </c>
    </row>
    <row r="18" spans="1:11" ht="27.6">
      <c r="A18" s="16"/>
      <c r="B18" s="465" t="str">
        <f>Language!A478</f>
        <v>1: Continuous (service interruptions are rare) - 2: Sporadic (service interruptions are common) - 3: No internet available</v>
      </c>
    </row>
    <row r="19" spans="1:11" ht="16.2" thickBot="1">
      <c r="A19" s="16"/>
      <c r="B19" s="471"/>
      <c r="C19" s="235"/>
      <c r="D19" s="514"/>
      <c r="E19" s="201"/>
      <c r="F19" s="201"/>
      <c r="G19" s="201"/>
      <c r="H19" s="471"/>
    </row>
    <row r="20" spans="1:11" ht="16.2" thickBot="1">
      <c r="A20" s="165"/>
      <c r="B20" s="14" t="str">
        <f>Language!A479</f>
        <v>GENERAL EQUIPMENT AVAILABILITY</v>
      </c>
      <c r="C20" s="47" t="str">
        <f>IF(COUNTBLANK(C22:C42)=21,"???",IF(COUNT(G22:G42)=0,"NA",AVERAGE(G22:G42)))</f>
        <v>???</v>
      </c>
      <c r="H20" s="432"/>
    </row>
    <row r="21" spans="1:11" ht="55.2">
      <c r="A21" s="16"/>
      <c r="B21" s="60" t="str">
        <f>Language!A480</f>
        <v>Indicate whether the lab has the following FUNCTIONAL pieces of equipment. In column D (#), indicate how many pieces of FUNCTIONAL equipment are present. If the lab only has non-functional equipment, select "No" and write "non-functional" in the comments. Also indicate in the comments if the quantity of equipment is sufficient for the laboratory's volume of testing.</v>
      </c>
      <c r="C21" s="512" t="str">
        <f>Language!A631</f>
        <v>Functional equipment?</v>
      </c>
      <c r="D21" s="515" t="s">
        <v>323</v>
      </c>
      <c r="F21" s="64"/>
      <c r="G21" s="64"/>
      <c r="H21" s="129" t="str">
        <f>Language!A632</f>
        <v>Please comment "insufficient" if the amount of functional equipment present is insufficient for the laboratory's volume of testing.</v>
      </c>
      <c r="I21" s="64"/>
      <c r="J21" s="72"/>
      <c r="K21" s="72"/>
    </row>
    <row r="22" spans="1:11" ht="28.05" customHeight="1">
      <c r="A22" s="257" t="s">
        <v>355</v>
      </c>
      <c r="B22" s="256" t="str">
        <f>Language!A481</f>
        <v>McFarland QC standards of known densities, including 0.5, not expired</v>
      </c>
      <c r="C22" s="427"/>
      <c r="D22" s="433"/>
      <c r="F22" s="23">
        <f t="shared" ref="F22:F42" si="3">C22</f>
        <v>0</v>
      </c>
      <c r="G22" s="18" t="str">
        <f t="shared" ref="G22:G42" si="4">IF(F22="Yes",1,IF(F22="No",0,"'"))</f>
        <v>'</v>
      </c>
      <c r="H22" s="429"/>
    </row>
    <row r="23" spans="1:11">
      <c r="A23" s="257" t="s">
        <v>356</v>
      </c>
      <c r="B23" s="256" t="str">
        <f>Language!A482</f>
        <v>Ruler or caliper with millimeter markings</v>
      </c>
      <c r="C23" s="427"/>
      <c r="D23" s="433"/>
      <c r="F23" s="23">
        <f t="shared" si="3"/>
        <v>0</v>
      </c>
      <c r="G23" s="18" t="str">
        <f t="shared" si="4"/>
        <v>'</v>
      </c>
      <c r="H23" s="429"/>
    </row>
    <row r="24" spans="1:11">
      <c r="A24" s="257" t="s">
        <v>357</v>
      </c>
      <c r="B24" s="256" t="str">
        <f>Language!A483</f>
        <v>Bunsen burners or micro-incinerators</v>
      </c>
      <c r="C24" s="427"/>
      <c r="D24" s="433"/>
      <c r="F24" s="23">
        <f t="shared" si="3"/>
        <v>0</v>
      </c>
      <c r="G24" s="18" t="str">
        <f t="shared" si="4"/>
        <v>'</v>
      </c>
      <c r="H24" s="429"/>
    </row>
    <row r="25" spans="1:11">
      <c r="A25" s="257" t="s">
        <v>1009</v>
      </c>
      <c r="B25" s="256" t="str">
        <f>Language!A484</f>
        <v>Calibrated 1µL or 10µL loops (for plating urine cultures)</v>
      </c>
      <c r="C25" s="427"/>
      <c r="D25" s="434" t="str">
        <f>IF(C25="Yes",1,IF(C25="No",0,"na"))</f>
        <v>na</v>
      </c>
      <c r="F25" s="23">
        <f t="shared" si="3"/>
        <v>0</v>
      </c>
      <c r="G25" s="18" t="str">
        <f t="shared" si="4"/>
        <v>'</v>
      </c>
      <c r="H25" s="435"/>
    </row>
    <row r="26" spans="1:11">
      <c r="A26" s="257" t="s">
        <v>1010</v>
      </c>
      <c r="B26" s="256" t="str">
        <f>Language!A485</f>
        <v>Optical densitometer/turbidimeter (for determining McFarland density)</v>
      </c>
      <c r="C26" s="427"/>
      <c r="D26" s="433"/>
      <c r="F26" s="23">
        <f t="shared" si="3"/>
        <v>0</v>
      </c>
      <c r="G26" s="18" t="str">
        <f t="shared" si="4"/>
        <v>'</v>
      </c>
      <c r="H26" s="435"/>
    </row>
    <row r="27" spans="1:11">
      <c r="A27" s="257" t="s">
        <v>1011</v>
      </c>
      <c r="B27" s="256" t="str">
        <f>Language!A486</f>
        <v>Microliter pipettes (e.g., Eppendorf)</v>
      </c>
      <c r="C27" s="427"/>
      <c r="D27" s="433"/>
      <c r="F27" s="23">
        <f t="shared" si="3"/>
        <v>0</v>
      </c>
      <c r="G27" s="18" t="str">
        <f t="shared" si="4"/>
        <v>'</v>
      </c>
      <c r="H27" s="429"/>
    </row>
    <row r="28" spans="1:11">
      <c r="A28" s="257" t="s">
        <v>1012</v>
      </c>
      <c r="B28" s="256" t="str">
        <f>Language!A487</f>
        <v>Centrifuge (not used for TB cultures)</v>
      </c>
      <c r="C28" s="427"/>
      <c r="D28" s="433"/>
      <c r="F28" s="23">
        <f t="shared" si="3"/>
        <v>0</v>
      </c>
      <c r="G28" s="18" t="str">
        <f t="shared" si="4"/>
        <v>'</v>
      </c>
      <c r="H28" s="436"/>
    </row>
    <row r="29" spans="1:11">
      <c r="A29" s="257" t="s">
        <v>1013</v>
      </c>
      <c r="B29" s="256" t="str">
        <f>Language!A488</f>
        <v>Microscope</v>
      </c>
      <c r="C29" s="427"/>
      <c r="D29" s="433"/>
      <c r="F29" s="23">
        <f t="shared" si="3"/>
        <v>0</v>
      </c>
      <c r="G29" s="18" t="str">
        <f t="shared" si="4"/>
        <v>'</v>
      </c>
      <c r="H29" s="436"/>
    </row>
    <row r="30" spans="1:11">
      <c r="A30" s="257" t="s">
        <v>1014</v>
      </c>
      <c r="B30" s="256" t="str">
        <f>Language!A489</f>
        <v>Thermometers</v>
      </c>
      <c r="C30" s="427"/>
      <c r="D30" s="433"/>
      <c r="F30" s="23">
        <f t="shared" si="3"/>
        <v>0</v>
      </c>
      <c r="G30" s="18" t="str">
        <f t="shared" si="4"/>
        <v>'</v>
      </c>
      <c r="H30" s="436"/>
    </row>
    <row r="31" spans="1:11">
      <c r="A31" s="257" t="s">
        <v>1015</v>
      </c>
      <c r="B31" s="256" t="str">
        <f>Language!A490</f>
        <v>CO2 incubators</v>
      </c>
      <c r="C31" s="427"/>
      <c r="D31" s="433"/>
      <c r="F31" s="23">
        <f t="shared" si="3"/>
        <v>0</v>
      </c>
      <c r="G31" s="18" t="str">
        <f t="shared" si="4"/>
        <v>'</v>
      </c>
      <c r="H31" s="437"/>
    </row>
    <row r="32" spans="1:11">
      <c r="A32" s="257" t="s">
        <v>1016</v>
      </c>
      <c r="B32" s="258" t="str">
        <f>Language!A491</f>
        <v>Candle jars</v>
      </c>
      <c r="C32" s="427"/>
      <c r="D32" s="433"/>
      <c r="F32" s="23">
        <f t="shared" si="3"/>
        <v>0</v>
      </c>
      <c r="G32" s="18" t="str">
        <f t="shared" si="4"/>
        <v>'</v>
      </c>
      <c r="H32" s="438"/>
    </row>
    <row r="33" spans="1:10">
      <c r="A33" s="257" t="s">
        <v>358</v>
      </c>
      <c r="B33" s="256" t="str">
        <f>Language!A492</f>
        <v>Ambient (non-CO2) incubator</v>
      </c>
      <c r="C33" s="427"/>
      <c r="D33" s="433"/>
      <c r="F33" s="23">
        <f t="shared" si="3"/>
        <v>0</v>
      </c>
      <c r="G33" s="18" t="str">
        <f t="shared" si="4"/>
        <v>'</v>
      </c>
      <c r="H33" s="436"/>
    </row>
    <row r="34" spans="1:10">
      <c r="A34" s="257" t="s">
        <v>359</v>
      </c>
      <c r="B34" s="256" t="str">
        <f>Language!A493</f>
        <v>Refrigerator (2-8°C)</v>
      </c>
      <c r="C34" s="427"/>
      <c r="D34" s="433"/>
      <c r="F34" s="23">
        <f t="shared" si="3"/>
        <v>0</v>
      </c>
      <c r="G34" s="18" t="str">
        <f t="shared" si="4"/>
        <v>'</v>
      </c>
      <c r="H34" s="436"/>
    </row>
    <row r="35" spans="1:10">
      <c r="A35" s="257" t="s">
        <v>360</v>
      </c>
      <c r="B35" s="256" t="str">
        <f>Language!A494</f>
        <v xml:space="preserve">Non-defrosting freezer, -20°C </v>
      </c>
      <c r="C35" s="427"/>
      <c r="D35" s="433"/>
      <c r="F35" s="23">
        <f t="shared" si="3"/>
        <v>0</v>
      </c>
      <c r="G35" s="18" t="str">
        <f t="shared" si="4"/>
        <v>'</v>
      </c>
      <c r="H35" s="436"/>
    </row>
    <row r="36" spans="1:10">
      <c r="A36" s="257" t="s">
        <v>1017</v>
      </c>
      <c r="B36" s="259" t="str">
        <f>Language!A495</f>
        <v>Non-defrosting freezer, -60°C</v>
      </c>
      <c r="C36" s="427"/>
      <c r="D36" s="433"/>
      <c r="F36" s="23">
        <f t="shared" si="3"/>
        <v>0</v>
      </c>
      <c r="G36" s="18" t="str">
        <f t="shared" si="4"/>
        <v>'</v>
      </c>
      <c r="H36" s="439"/>
    </row>
    <row r="37" spans="1:10">
      <c r="A37" s="257" t="s">
        <v>361</v>
      </c>
      <c r="B37" s="256" t="str">
        <f>Language!A496</f>
        <v xml:space="preserve">Non-defrosting freezer, -80°C </v>
      </c>
      <c r="C37" s="427"/>
      <c r="D37" s="433"/>
      <c r="F37" s="23">
        <f t="shared" si="3"/>
        <v>0</v>
      </c>
      <c r="G37" s="18" t="str">
        <f t="shared" si="4"/>
        <v>'</v>
      </c>
      <c r="H37" s="436"/>
    </row>
    <row r="38" spans="1:10">
      <c r="A38" s="257" t="s">
        <v>362</v>
      </c>
      <c r="B38" s="256" t="str">
        <f>Language!A497</f>
        <v>Rechargeable desiccants (for storage of open antibiotic disks and strips)</v>
      </c>
      <c r="C38" s="427"/>
      <c r="D38" s="434" t="str">
        <f>IF(C38="Yes",1,IF(C38="No",0,"na"))</f>
        <v>na</v>
      </c>
      <c r="F38" s="23">
        <f t="shared" si="3"/>
        <v>0</v>
      </c>
      <c r="G38" s="18" t="str">
        <f t="shared" si="4"/>
        <v>'</v>
      </c>
      <c r="H38" s="436"/>
    </row>
    <row r="39" spans="1:10">
      <c r="A39" s="257" t="s">
        <v>363</v>
      </c>
      <c r="B39" s="256" t="str">
        <f>Language!A498</f>
        <v>Hot air oven (for drying saturated desiccants)</v>
      </c>
      <c r="C39" s="427"/>
      <c r="D39" s="433"/>
      <c r="F39" s="23">
        <f t="shared" si="3"/>
        <v>0</v>
      </c>
      <c r="G39" s="18" t="str">
        <f t="shared" si="4"/>
        <v>'</v>
      </c>
      <c r="H39" s="436"/>
    </row>
    <row r="40" spans="1:10">
      <c r="A40" s="257" t="s">
        <v>364</v>
      </c>
      <c r="B40" s="256" t="str">
        <f>Language!A499</f>
        <v>Biological Safety Cabinet Class IIA</v>
      </c>
      <c r="C40" s="427"/>
      <c r="D40" s="433"/>
      <c r="F40" s="23">
        <f t="shared" si="3"/>
        <v>0</v>
      </c>
      <c r="G40" s="18" t="str">
        <f t="shared" si="4"/>
        <v>'</v>
      </c>
      <c r="H40" s="436"/>
      <c r="I40" s="18" t="str">
        <f>IF(C40="No","Red Flag","'")</f>
        <v>'</v>
      </c>
    </row>
    <row r="41" spans="1:10">
      <c r="A41" s="257" t="s">
        <v>365</v>
      </c>
      <c r="B41" s="256" t="str">
        <f>Language!A500</f>
        <v>Autoclave for media preparation ("clean" autoclave)</v>
      </c>
      <c r="C41" s="427"/>
      <c r="D41" s="433"/>
      <c r="F41" s="23">
        <f t="shared" si="3"/>
        <v>0</v>
      </c>
      <c r="G41" s="18" t="str">
        <f t="shared" si="4"/>
        <v>'</v>
      </c>
      <c r="H41" s="436"/>
    </row>
    <row r="42" spans="1:10" ht="16.2" thickBot="1">
      <c r="A42" s="257" t="s">
        <v>366</v>
      </c>
      <c r="B42" s="256" t="str">
        <f>Language!A501</f>
        <v>Autoclave for sterlizing waste ("dirty" autoclave)</v>
      </c>
      <c r="C42" s="427"/>
      <c r="D42" s="433"/>
      <c r="F42" s="23">
        <f t="shared" si="3"/>
        <v>0</v>
      </c>
      <c r="G42" s="18" t="str">
        <f t="shared" si="4"/>
        <v>'</v>
      </c>
      <c r="H42" s="430"/>
    </row>
    <row r="43" spans="1:10" ht="16.2" thickBot="1">
      <c r="A43" s="165"/>
      <c r="B43" s="260" t="str">
        <f>Language!A502</f>
        <v>MEDIA PREPARATION EQUIPMENT AVAILABILITY</v>
      </c>
      <c r="C43" s="44" t="str">
        <f>IF(COUNTBLANK(C47:C52)=6,"???",IF(COUNT(G47:G52)=0,"NA",AVERAGE(G47:G52)))</f>
        <v>???</v>
      </c>
      <c r="F43" s="28"/>
      <c r="H43" s="432"/>
    </row>
    <row r="44" spans="1:10" ht="28.05" customHeight="1">
      <c r="A44" s="261" t="s">
        <v>367</v>
      </c>
      <c r="B44" s="169" t="str">
        <f>Language!A503</f>
        <v>Does the lab prepare any media or distilled water? (e.g., blood agar, Mueller Hinton agar, blood culture bottles)</v>
      </c>
      <c r="C44" s="254"/>
      <c r="H44" s="440"/>
      <c r="J44" s="516"/>
    </row>
    <row r="45" spans="1:10">
      <c r="A45" s="16"/>
      <c r="B45" s="465" t="str">
        <f>Language!A504</f>
        <v>If No, answer NA until next section</v>
      </c>
      <c r="C45" s="22"/>
      <c r="F45" s="29"/>
      <c r="G45" s="18"/>
    </row>
    <row r="46" spans="1:10" ht="27.6">
      <c r="A46" s="16"/>
      <c r="B46" s="60" t="str">
        <f>Language!A505</f>
        <v>Indicate whether the lab is currently using the following FUNCTIONAL pieces of equipment. If the lab has only non-functional equipment, select "No" and note "non-functional" in the comments.</v>
      </c>
      <c r="D46" s="277" t="s">
        <v>323</v>
      </c>
      <c r="F46" s="29"/>
      <c r="G46" s="18"/>
      <c r="H46" s="517"/>
    </row>
    <row r="47" spans="1:10">
      <c r="A47" s="261" t="s">
        <v>368</v>
      </c>
      <c r="B47" s="256" t="str">
        <f>Language!A506</f>
        <v>pH meter</v>
      </c>
      <c r="C47" s="254"/>
      <c r="D47" s="433"/>
      <c r="F47" s="29">
        <f t="shared" ref="F47:F52" si="5">C47</f>
        <v>0</v>
      </c>
      <c r="G47" s="18" t="str">
        <f t="shared" ref="G47:G52" si="6">IF(F47="Yes",1,IF(F47="No",0,"'"))</f>
        <v>'</v>
      </c>
      <c r="H47" s="440"/>
    </row>
    <row r="48" spans="1:10">
      <c r="A48" s="261" t="s">
        <v>369</v>
      </c>
      <c r="B48" s="256" t="str">
        <f>Language!A507</f>
        <v>Weighing balance</v>
      </c>
      <c r="C48" s="254"/>
      <c r="D48" s="433"/>
      <c r="F48" s="29">
        <f t="shared" si="5"/>
        <v>0</v>
      </c>
      <c r="G48" s="18" t="str">
        <f t="shared" si="6"/>
        <v>'</v>
      </c>
      <c r="H48" s="440"/>
    </row>
    <row r="49" spans="1:9">
      <c r="A49" s="261" t="s">
        <v>370</v>
      </c>
      <c r="B49" s="256" t="str">
        <f>Language!A508</f>
        <v>Conductivity meter</v>
      </c>
      <c r="C49" s="254"/>
      <c r="D49" s="433"/>
      <c r="F49" s="29">
        <f t="shared" si="5"/>
        <v>0</v>
      </c>
      <c r="G49" s="18" t="str">
        <f t="shared" si="6"/>
        <v>'</v>
      </c>
      <c r="H49" s="441"/>
    </row>
    <row r="50" spans="1:9">
      <c r="A50" s="261" t="s">
        <v>371</v>
      </c>
      <c r="B50" s="256" t="str">
        <f>Language!A509</f>
        <v>Distiller/reverse osmosis equipment</v>
      </c>
      <c r="C50" s="254"/>
      <c r="D50" s="433"/>
      <c r="F50" s="29">
        <f t="shared" si="5"/>
        <v>0</v>
      </c>
      <c r="G50" s="18" t="str">
        <f t="shared" si="6"/>
        <v>'</v>
      </c>
      <c r="H50" s="441"/>
    </row>
    <row r="51" spans="1:9">
      <c r="A51" s="261" t="s">
        <v>372</v>
      </c>
      <c r="B51" s="256" t="str">
        <f>Language!A510</f>
        <v>Hot plate with magnetic stir bar (for mixing powdered media)</v>
      </c>
      <c r="C51" s="254"/>
      <c r="D51" s="433"/>
      <c r="F51" s="29">
        <f t="shared" si="5"/>
        <v>0</v>
      </c>
      <c r="G51" s="18" t="str">
        <f t="shared" si="6"/>
        <v>'</v>
      </c>
      <c r="H51" s="440"/>
    </row>
    <row r="52" spans="1:9" ht="16.2" thickBot="1">
      <c r="A52" s="261" t="s">
        <v>373</v>
      </c>
      <c r="B52" s="256" t="str">
        <f>Language!A511</f>
        <v>Water bath</v>
      </c>
      <c r="C52" s="254"/>
      <c r="D52" s="433"/>
      <c r="F52" s="29">
        <f t="shared" si="5"/>
        <v>0</v>
      </c>
      <c r="G52" s="18" t="str">
        <f t="shared" si="6"/>
        <v>'</v>
      </c>
      <c r="H52" s="441"/>
    </row>
    <row r="53" spans="1:9" ht="16.2" thickBot="1">
      <c r="A53" s="165"/>
      <c r="B53" s="14" t="str">
        <f>Language!A512</f>
        <v>EQUIPMENT CALIBRATION  RECORDS</v>
      </c>
      <c r="C53" s="47" t="str">
        <f>IF(COUNTBLANK(C55:C66)=12,"???",IF(COUNT(G55:G66)=0,"NA",AVERAGE(G55:G66)))</f>
        <v>???</v>
      </c>
      <c r="H53" s="432"/>
    </row>
    <row r="54" spans="1:9" ht="27.6">
      <c r="A54" s="16"/>
      <c r="B54" s="8" t="str">
        <f>Language!A513</f>
        <v>Review the calibration records for each piece of equipment. Has calibration been performed within the last year?   (Select NA only if the lab does not have the equipment.)</v>
      </c>
      <c r="H54" s="22"/>
    </row>
    <row r="55" spans="1:9">
      <c r="A55" s="261" t="s">
        <v>1018</v>
      </c>
      <c r="B55" s="256" t="str">
        <f>Language!A514</f>
        <v>Optical Densitometer (for determining McFarland density)</v>
      </c>
      <c r="C55" s="427"/>
      <c r="F55" s="23">
        <f t="shared" ref="F55:F66" si="7">C55</f>
        <v>0</v>
      </c>
      <c r="G55" s="18" t="str">
        <f t="shared" ref="G55:G66" si="8">IF(F55="Yes",1,IF(F55="No",0,"'"))</f>
        <v>'</v>
      </c>
      <c r="H55" s="429"/>
    </row>
    <row r="56" spans="1:9">
      <c r="A56" s="261" t="s">
        <v>374</v>
      </c>
      <c r="B56" s="256" t="str">
        <f>Language!A515</f>
        <v>Microliter pipettes (e.g., Eppendorf)</v>
      </c>
      <c r="C56" s="427"/>
      <c r="F56" s="23">
        <f t="shared" si="7"/>
        <v>0</v>
      </c>
      <c r="G56" s="18" t="str">
        <f t="shared" si="8"/>
        <v>'</v>
      </c>
      <c r="H56" s="429"/>
    </row>
    <row r="57" spans="1:9">
      <c r="A57" s="261" t="s">
        <v>375</v>
      </c>
      <c r="B57" s="256" t="str">
        <f>Language!A516</f>
        <v>Centrifuge</v>
      </c>
      <c r="C57" s="427"/>
      <c r="F57" s="23">
        <f t="shared" si="7"/>
        <v>0</v>
      </c>
      <c r="G57" s="18" t="str">
        <f t="shared" si="8"/>
        <v>'</v>
      </c>
      <c r="H57" s="429"/>
    </row>
    <row r="58" spans="1:9">
      <c r="A58" s="261" t="s">
        <v>376</v>
      </c>
      <c r="B58" s="256" t="str">
        <f>Language!A517</f>
        <v>Thermometers</v>
      </c>
      <c r="C58" s="427"/>
      <c r="F58" s="23">
        <f t="shared" si="7"/>
        <v>0</v>
      </c>
      <c r="G58" s="18" t="str">
        <f t="shared" si="8"/>
        <v>'</v>
      </c>
      <c r="H58" s="429"/>
    </row>
    <row r="59" spans="1:9">
      <c r="A59" s="261" t="s">
        <v>377</v>
      </c>
      <c r="B59" s="256" t="str">
        <f>Language!A518</f>
        <v>pH meter</v>
      </c>
      <c r="C59" s="427"/>
      <c r="F59" s="23">
        <f t="shared" si="7"/>
        <v>0</v>
      </c>
      <c r="G59" s="18" t="str">
        <f t="shared" si="8"/>
        <v>'</v>
      </c>
      <c r="H59" s="430"/>
    </row>
    <row r="60" spans="1:9">
      <c r="A60" s="261" t="s">
        <v>378</v>
      </c>
      <c r="B60" s="256" t="str">
        <f>Language!A519</f>
        <v>Conductivity meter</v>
      </c>
      <c r="C60" s="427"/>
      <c r="F60" s="23">
        <f t="shared" si="7"/>
        <v>0</v>
      </c>
      <c r="G60" s="18" t="str">
        <f t="shared" si="8"/>
        <v>'</v>
      </c>
      <c r="H60" s="430"/>
    </row>
    <row r="61" spans="1:9">
      <c r="A61" s="261" t="s">
        <v>379</v>
      </c>
      <c r="B61" s="256" t="str">
        <f>Language!A520</f>
        <v>CO2 incubator</v>
      </c>
      <c r="C61" s="427"/>
      <c r="F61" s="23">
        <f t="shared" si="7"/>
        <v>0</v>
      </c>
      <c r="G61" s="18" t="str">
        <f t="shared" si="8"/>
        <v>'</v>
      </c>
      <c r="H61" s="430"/>
    </row>
    <row r="62" spans="1:9">
      <c r="A62" s="261" t="s">
        <v>380</v>
      </c>
      <c r="B62" s="256" t="str">
        <f>Language!A521</f>
        <v>Ambient (non-CO2) incubator</v>
      </c>
      <c r="C62" s="427"/>
      <c r="F62" s="23">
        <f t="shared" si="7"/>
        <v>0</v>
      </c>
      <c r="G62" s="18" t="str">
        <f t="shared" si="8"/>
        <v>'</v>
      </c>
      <c r="H62" s="430"/>
    </row>
    <row r="63" spans="1:9">
      <c r="A63" s="261" t="s">
        <v>381</v>
      </c>
      <c r="B63" s="256" t="str">
        <f>Language!A522</f>
        <v>Hot air oven for recharging desiccants</v>
      </c>
      <c r="C63" s="427"/>
      <c r="F63" s="23">
        <f t="shared" si="7"/>
        <v>0</v>
      </c>
      <c r="G63" s="18" t="str">
        <f t="shared" si="8"/>
        <v>'</v>
      </c>
      <c r="H63" s="430"/>
    </row>
    <row r="64" spans="1:9">
      <c r="A64" s="261" t="s">
        <v>382</v>
      </c>
      <c r="B64" s="256" t="str">
        <f>Language!A523</f>
        <v>Biological Safety Cabinet Class IIA</v>
      </c>
      <c r="C64" s="427"/>
      <c r="F64" s="23">
        <f t="shared" si="7"/>
        <v>0</v>
      </c>
      <c r="G64" s="18" t="str">
        <f t="shared" si="8"/>
        <v>'</v>
      </c>
      <c r="H64" s="430"/>
      <c r="I64" s="18" t="str">
        <f>IF(C64="No","Red Flag","'")</f>
        <v>'</v>
      </c>
    </row>
    <row r="65" spans="1:8">
      <c r="A65" s="261" t="s">
        <v>383</v>
      </c>
      <c r="B65" s="256" t="str">
        <f>Language!A524</f>
        <v>Weighing balance</v>
      </c>
      <c r="C65" s="427"/>
      <c r="F65" s="23">
        <f t="shared" si="7"/>
        <v>0</v>
      </c>
      <c r="G65" s="18" t="str">
        <f t="shared" si="8"/>
        <v>'</v>
      </c>
      <c r="H65" s="430"/>
    </row>
    <row r="66" spans="1:8" ht="16.2" thickBot="1">
      <c r="A66" s="261" t="s">
        <v>384</v>
      </c>
      <c r="B66" s="256" t="str">
        <f>Language!A525</f>
        <v>Water bath</v>
      </c>
      <c r="C66" s="427"/>
      <c r="F66" s="23">
        <f t="shared" si="7"/>
        <v>0</v>
      </c>
      <c r="G66" s="18" t="str">
        <f t="shared" si="8"/>
        <v>'</v>
      </c>
      <c r="H66" s="430"/>
    </row>
    <row r="67" spans="1:8" ht="16.2" thickBot="1">
      <c r="A67" s="165"/>
      <c r="B67" s="14" t="str">
        <f>Language!A526</f>
        <v>THERMOMETERS</v>
      </c>
      <c r="C67" s="47" t="str">
        <f>IF(COUNTBLANK(C69:C77)=9,"???",IF(COUNT(G69:G77)=0,"NA",AVERAGE(G69:G77)))</f>
        <v>???</v>
      </c>
      <c r="H67" s="432"/>
    </row>
    <row r="68" spans="1:8" ht="27.6">
      <c r="A68" s="16"/>
      <c r="B68" s="8" t="str">
        <f>Language!A527</f>
        <v>Indicate if manual (non-digital) thermometers are present inside each piece of equipment. (Select NA if the lab does not have the equipment.)</v>
      </c>
    </row>
    <row r="69" spans="1:8">
      <c r="A69" s="261" t="s">
        <v>385</v>
      </c>
      <c r="B69" s="256" t="str">
        <f>Language!A528</f>
        <v>CO2 incubator</v>
      </c>
      <c r="C69" s="427"/>
      <c r="F69" s="23">
        <f t="shared" ref="F69:F77" si="9">C69</f>
        <v>0</v>
      </c>
      <c r="G69" s="18" t="str">
        <f t="shared" ref="G69:G77" si="10">IF(F69="Yes",1,IF(F69="No",0,"'"))</f>
        <v>'</v>
      </c>
      <c r="H69" s="429"/>
    </row>
    <row r="70" spans="1:8">
      <c r="A70" s="261" t="s">
        <v>813</v>
      </c>
      <c r="B70" s="256" t="str">
        <f>Language!A529</f>
        <v>Ambient (non-CO2) incubator</v>
      </c>
      <c r="C70" s="427"/>
      <c r="F70" s="23">
        <f t="shared" si="9"/>
        <v>0</v>
      </c>
      <c r="G70" s="18" t="str">
        <f t="shared" si="10"/>
        <v>'</v>
      </c>
      <c r="H70" s="429"/>
    </row>
    <row r="71" spans="1:8">
      <c r="A71" s="261" t="s">
        <v>814</v>
      </c>
      <c r="B71" s="256" t="str">
        <f>Language!A530</f>
        <v>Refrigerator (2-8°C)</v>
      </c>
      <c r="C71" s="427"/>
      <c r="F71" s="23">
        <f t="shared" si="9"/>
        <v>0</v>
      </c>
      <c r="G71" s="18" t="str">
        <f t="shared" si="10"/>
        <v>'</v>
      </c>
      <c r="H71" s="429"/>
    </row>
    <row r="72" spans="1:8">
      <c r="A72" s="261" t="s">
        <v>815</v>
      </c>
      <c r="B72" s="256" t="str">
        <f>Language!A531</f>
        <v xml:space="preserve">Non-defrosting freezer, -20°C </v>
      </c>
      <c r="C72" s="427"/>
      <c r="F72" s="23">
        <f t="shared" si="9"/>
        <v>0</v>
      </c>
      <c r="G72" s="18" t="str">
        <f t="shared" si="10"/>
        <v>'</v>
      </c>
      <c r="H72" s="429"/>
    </row>
    <row r="73" spans="1:8">
      <c r="A73" s="261" t="s">
        <v>816</v>
      </c>
      <c r="B73" s="259" t="str">
        <f>Language!A532</f>
        <v xml:space="preserve">Non-defrosting freezer, -60°C </v>
      </c>
      <c r="C73" s="427"/>
      <c r="F73" s="23">
        <f t="shared" si="9"/>
        <v>0</v>
      </c>
      <c r="G73" s="18" t="str">
        <f t="shared" si="10"/>
        <v>'</v>
      </c>
      <c r="H73" s="430"/>
    </row>
    <row r="74" spans="1:8">
      <c r="A74" s="261" t="s">
        <v>817</v>
      </c>
      <c r="B74" s="256" t="str">
        <f>Language!A533</f>
        <v xml:space="preserve">Non-defrosting freezer, -80°C </v>
      </c>
      <c r="C74" s="427"/>
      <c r="F74" s="23">
        <f t="shared" si="9"/>
        <v>0</v>
      </c>
      <c r="G74" s="18" t="str">
        <f t="shared" si="10"/>
        <v>'</v>
      </c>
      <c r="H74" s="429"/>
    </row>
    <row r="75" spans="1:8">
      <c r="A75" s="261" t="s">
        <v>818</v>
      </c>
      <c r="B75" s="256" t="str">
        <f>Language!A534</f>
        <v>Hot air oven (for recharging desiccants)</v>
      </c>
      <c r="C75" s="427"/>
      <c r="F75" s="23">
        <f t="shared" si="9"/>
        <v>0</v>
      </c>
      <c r="G75" s="18" t="str">
        <f t="shared" si="10"/>
        <v>'</v>
      </c>
      <c r="H75" s="429"/>
    </row>
    <row r="76" spans="1:8">
      <c r="A76" s="261" t="s">
        <v>819</v>
      </c>
      <c r="B76" s="256" t="str">
        <f>Language!A535</f>
        <v>Hot plate with magnetic stir bar (for mixing powdered media)</v>
      </c>
      <c r="C76" s="427"/>
      <c r="F76" s="23">
        <f t="shared" si="9"/>
        <v>0</v>
      </c>
      <c r="G76" s="18" t="str">
        <f t="shared" si="10"/>
        <v>'</v>
      </c>
      <c r="H76" s="429"/>
    </row>
    <row r="77" spans="1:8" ht="16.2" thickBot="1">
      <c r="A77" s="261" t="s">
        <v>820</v>
      </c>
      <c r="B77" s="256" t="str">
        <f>Language!A536</f>
        <v>Water bath</v>
      </c>
      <c r="C77" s="427"/>
      <c r="F77" s="23">
        <f t="shared" si="9"/>
        <v>0</v>
      </c>
      <c r="G77" s="18" t="str">
        <f t="shared" si="10"/>
        <v>'</v>
      </c>
      <c r="H77" s="429"/>
    </row>
    <row r="78" spans="1:8" ht="16.2" thickBot="1">
      <c r="A78" s="165"/>
      <c r="B78" s="87" t="str">
        <f>Language!A537</f>
        <v>TEMPERATURE AND ATMOSPHERE MONITORING</v>
      </c>
      <c r="C78" s="73" t="str">
        <f>IF(COUNTBLANK(C83:C108)=26,"???",IF(COUNT(G83:G108)=0,"NA",AVERAGE(G83:G108)))</f>
        <v>???</v>
      </c>
      <c r="F78" s="28"/>
      <c r="H78" s="432"/>
    </row>
    <row r="79" spans="1:8">
      <c r="A79" s="16"/>
      <c r="B79" s="638" t="str">
        <f>Language!A538</f>
        <v>Observe if acceptable min/max temperature ranges have been clearly defined on record sheets for the following areas/equipment and if temperature checks are documented daily. Tick NA if the piece of equipment in question is not in use in the lab.</v>
      </c>
      <c r="C79" s="85" t="e">
        <f>AVERAGE(G83,G86,G89,G92,G95,G98,G101,G105)</f>
        <v>#DIV/0!</v>
      </c>
      <c r="H79" s="343" t="str">
        <f>Language!A633</f>
        <v>Temperature recorded</v>
      </c>
    </row>
    <row r="80" spans="1:8">
      <c r="A80" s="16"/>
      <c r="B80" s="639" t="e">
        <f>Language!#REF!</f>
        <v>#REF!</v>
      </c>
      <c r="C80" s="85" t="e">
        <f>AVERAGE(G84,G87,G90,G93,G96,G99,G102,G106)</f>
        <v>#DIV/0!</v>
      </c>
      <c r="H80" s="343" t="str">
        <f>Language!A634</f>
        <v>Ranges defined</v>
      </c>
    </row>
    <row r="81" spans="1:8">
      <c r="A81" s="16"/>
      <c r="B81" s="639" t="e">
        <f>Language!#REF!</f>
        <v>#REF!</v>
      </c>
      <c r="C81" s="28"/>
      <c r="F81" s="28"/>
    </row>
    <row r="82" spans="1:8">
      <c r="A82" s="237"/>
      <c r="B82" s="45" t="str">
        <f>Language!A539</f>
        <v>Room temperature</v>
      </c>
      <c r="C82" s="22"/>
      <c r="H82" s="517"/>
    </row>
    <row r="83" spans="1:8">
      <c r="A83" s="261" t="s">
        <v>1019</v>
      </c>
      <c r="B83" s="256" t="str">
        <f>Language!A540</f>
        <v>Are temperatures recorded each day of use?</v>
      </c>
      <c r="C83" s="254"/>
      <c r="F83" s="29">
        <f>C83</f>
        <v>0</v>
      </c>
      <c r="G83" s="18" t="str">
        <f t="shared" ref="G83:G84" si="11">IF(F83="Yes",1,IF(F83="No",0,"'"))</f>
        <v>'</v>
      </c>
      <c r="H83" s="440"/>
    </row>
    <row r="84" spans="1:8" ht="28.05" customHeight="1">
      <c r="A84" s="261" t="s">
        <v>1020</v>
      </c>
      <c r="B84" s="256" t="str">
        <f>Language!A541</f>
        <v>Is the acceptable temperature range (the minimum and maximum) clearly defined on the record sheet?</v>
      </c>
      <c r="C84" s="254"/>
      <c r="F84" s="29">
        <f>C84</f>
        <v>0</v>
      </c>
      <c r="G84" s="18" t="str">
        <f t="shared" si="11"/>
        <v>'</v>
      </c>
      <c r="H84" s="440"/>
    </row>
    <row r="85" spans="1:8">
      <c r="A85" s="158"/>
      <c r="B85" s="45" t="str">
        <f>Language!A542</f>
        <v>Freezers, -20°C</v>
      </c>
      <c r="C85" s="22"/>
      <c r="F85" s="28"/>
      <c r="H85" s="267"/>
    </row>
    <row r="86" spans="1:8">
      <c r="A86" s="261" t="s">
        <v>1021</v>
      </c>
      <c r="B86" s="256" t="str">
        <f>Language!A543</f>
        <v>Are temperatures recorded each day of use?</v>
      </c>
      <c r="C86" s="254"/>
      <c r="F86" s="29">
        <f>C86</f>
        <v>0</v>
      </c>
      <c r="G86" s="18" t="str">
        <f t="shared" ref="G86:G87" si="12">IF(F86="Yes",1,IF(F86="No",0,"'"))</f>
        <v>'</v>
      </c>
      <c r="H86" s="440"/>
    </row>
    <row r="87" spans="1:8" ht="28.05" customHeight="1">
      <c r="A87" s="261" t="s">
        <v>1022</v>
      </c>
      <c r="B87" s="256" t="str">
        <f>Language!A544</f>
        <v>Is the acceptable temperature range (the minimum and maximum) clearly defined on the record sheet?</v>
      </c>
      <c r="C87" s="254"/>
      <c r="F87" s="29">
        <f>C87</f>
        <v>0</v>
      </c>
      <c r="G87" s="18" t="str">
        <f t="shared" si="12"/>
        <v>'</v>
      </c>
      <c r="H87" s="440"/>
    </row>
    <row r="88" spans="1:8">
      <c r="A88" s="158"/>
      <c r="B88" s="157" t="str">
        <f>Language!A545</f>
        <v>Freezers, -60°C</v>
      </c>
      <c r="C88" s="22"/>
      <c r="F88" s="28"/>
      <c r="H88" s="267"/>
    </row>
    <row r="89" spans="1:8">
      <c r="A89" s="261" t="s">
        <v>1023</v>
      </c>
      <c r="B89" s="259" t="str">
        <f>Language!A546</f>
        <v>Are temperatures recorded each day of use?</v>
      </c>
      <c r="C89" s="254"/>
      <c r="F89" s="29">
        <f>C89</f>
        <v>0</v>
      </c>
      <c r="G89" s="18" t="str">
        <f t="shared" ref="G89:G90" si="13">IF(F89="Yes",1,IF(F89="No",0,"'"))</f>
        <v>'</v>
      </c>
      <c r="H89" s="440"/>
    </row>
    <row r="90" spans="1:8" ht="28.05" customHeight="1">
      <c r="A90" s="261" t="s">
        <v>1024</v>
      </c>
      <c r="B90" s="256" t="str">
        <f>Language!A547</f>
        <v>Is the acceptable temperature range (the minimum and maximum) clearly defined on the record sheet?</v>
      </c>
      <c r="C90" s="254"/>
      <c r="F90" s="29">
        <f>C90</f>
        <v>0</v>
      </c>
      <c r="G90" s="18" t="str">
        <f t="shared" si="13"/>
        <v>'</v>
      </c>
      <c r="H90" s="440"/>
    </row>
    <row r="91" spans="1:8">
      <c r="A91" s="158"/>
      <c r="B91" s="157" t="str">
        <f>Language!A548</f>
        <v>Freezers, -80°C</v>
      </c>
      <c r="C91" s="22"/>
      <c r="F91" s="28"/>
      <c r="H91" s="267"/>
    </row>
    <row r="92" spans="1:8">
      <c r="A92" s="261" t="s">
        <v>1025</v>
      </c>
      <c r="B92" s="259" t="str">
        <f>Language!A549</f>
        <v>Are temperatures recorded each day of use?</v>
      </c>
      <c r="C92" s="254"/>
      <c r="F92" s="29">
        <f>C92</f>
        <v>0</v>
      </c>
      <c r="G92" s="18" t="str">
        <f t="shared" ref="G92:G93" si="14">IF(F92="Yes",1,IF(F92="No",0,"'"))</f>
        <v>'</v>
      </c>
      <c r="H92" s="440"/>
    </row>
    <row r="93" spans="1:8" ht="28.05" customHeight="1">
      <c r="A93" s="261" t="s">
        <v>1026</v>
      </c>
      <c r="B93" s="256" t="str">
        <f>Language!A550</f>
        <v>Is the acceptable temperature range (the minimum and maximum) clearly defined on the record sheet?</v>
      </c>
      <c r="C93" s="254"/>
      <c r="F93" s="29">
        <f>C93</f>
        <v>0</v>
      </c>
      <c r="G93" s="18" t="str">
        <f t="shared" si="14"/>
        <v>'</v>
      </c>
      <c r="H93" s="440"/>
    </row>
    <row r="94" spans="1:8">
      <c r="A94" s="158"/>
      <c r="B94" s="157" t="str">
        <f>Language!A551</f>
        <v>Refrigerators</v>
      </c>
      <c r="C94" s="22"/>
      <c r="F94" s="28"/>
      <c r="H94" s="267"/>
    </row>
    <row r="95" spans="1:8">
      <c r="A95" s="261" t="s">
        <v>1027</v>
      </c>
      <c r="B95" s="256" t="str">
        <f>Language!A552</f>
        <v>Are temperatures recorded each day of use?</v>
      </c>
      <c r="C95" s="254"/>
      <c r="F95" s="29">
        <f>C95</f>
        <v>0</v>
      </c>
      <c r="G95" s="18" t="str">
        <f t="shared" ref="G95:G99" si="15">IF(F95="Yes",1,IF(F95="No",0,"'"))</f>
        <v>'</v>
      </c>
      <c r="H95" s="440"/>
    </row>
    <row r="96" spans="1:8" ht="28.05" customHeight="1">
      <c r="A96" s="261" t="s">
        <v>1028</v>
      </c>
      <c r="B96" s="256" t="str">
        <f>Language!A553</f>
        <v>Is the acceptable temperature range (the minimum and maximum) clearly defined on the record sheet?</v>
      </c>
      <c r="C96" s="254"/>
      <c r="F96" s="29">
        <f>C96</f>
        <v>0</v>
      </c>
      <c r="G96" s="18" t="str">
        <f t="shared" si="15"/>
        <v>'</v>
      </c>
      <c r="H96" s="440"/>
    </row>
    <row r="97" spans="1:11">
      <c r="A97" s="158"/>
      <c r="B97" s="157" t="str">
        <f>Language!A554</f>
        <v>Incubators, ambient atmosphere</v>
      </c>
      <c r="C97" s="22"/>
      <c r="F97" s="28"/>
      <c r="H97" s="267"/>
    </row>
    <row r="98" spans="1:11">
      <c r="A98" s="261" t="s">
        <v>1029</v>
      </c>
      <c r="B98" s="259" t="str">
        <f>Language!A555</f>
        <v>Are temperatures recorded each day of use?</v>
      </c>
      <c r="C98" s="254"/>
      <c r="F98" s="29">
        <f>C98</f>
        <v>0</v>
      </c>
      <c r="G98" s="18" t="str">
        <f t="shared" si="15"/>
        <v>'</v>
      </c>
      <c r="H98" s="440"/>
    </row>
    <row r="99" spans="1:11" ht="28.05" customHeight="1">
      <c r="A99" s="261" t="s">
        <v>1030</v>
      </c>
      <c r="B99" s="256" t="str">
        <f>Language!A556</f>
        <v>Is the acceptable temperature range (the minimum and maximum) clearly defined on the record sheet?</v>
      </c>
      <c r="C99" s="254"/>
      <c r="F99" s="29">
        <f>C99</f>
        <v>0</v>
      </c>
      <c r="G99" s="18" t="str">
        <f t="shared" si="15"/>
        <v>'</v>
      </c>
      <c r="H99" s="440"/>
    </row>
    <row r="100" spans="1:11">
      <c r="A100" s="158"/>
      <c r="B100" s="157" t="str">
        <f>Language!A557</f>
        <v>Incubators, CO2</v>
      </c>
      <c r="C100" s="22"/>
      <c r="F100" s="28"/>
      <c r="H100" s="267"/>
    </row>
    <row r="101" spans="1:11">
      <c r="A101" s="261" t="s">
        <v>1031</v>
      </c>
      <c r="B101" s="259" t="str">
        <f>Language!A558</f>
        <v>Are temperatures recorded each day of use?</v>
      </c>
      <c r="C101" s="254"/>
      <c r="F101" s="29">
        <f>C101</f>
        <v>0</v>
      </c>
      <c r="G101" s="18" t="str">
        <f t="shared" ref="G101:G103" si="16">IF(F101="Yes",1,IF(F101="No",0,"'"))</f>
        <v>'</v>
      </c>
      <c r="H101" s="440"/>
    </row>
    <row r="102" spans="1:11" ht="28.05" customHeight="1">
      <c r="A102" s="261" t="s">
        <v>1032</v>
      </c>
      <c r="B102" s="256" t="str">
        <f>Language!A559</f>
        <v>Is the acceptable temperature range (the minimum and maximum) clearly defined on the record sheet?</v>
      </c>
      <c r="C102" s="254"/>
      <c r="F102" s="29">
        <f>C102</f>
        <v>0</v>
      </c>
      <c r="G102" s="18" t="str">
        <f t="shared" si="16"/>
        <v>'</v>
      </c>
      <c r="H102" s="440"/>
    </row>
    <row r="103" spans="1:11" ht="27.6">
      <c r="A103" s="261" t="s">
        <v>1033</v>
      </c>
      <c r="B103" s="259" t="str">
        <f>Language!A560</f>
        <v>Are CO2 incubators checked for adequate CO2 levels and documented daily (or each day of use if not used daily)?</v>
      </c>
      <c r="C103" s="254"/>
      <c r="F103" s="29">
        <f>C103</f>
        <v>0</v>
      </c>
      <c r="G103" s="18" t="str">
        <f t="shared" si="16"/>
        <v>'</v>
      </c>
      <c r="H103" s="429"/>
    </row>
    <row r="104" spans="1:11">
      <c r="A104" s="158"/>
      <c r="B104" s="157" t="str">
        <f>Language!A561</f>
        <v>Water baths</v>
      </c>
      <c r="C104" s="22"/>
      <c r="F104" s="28"/>
      <c r="H104" s="267"/>
    </row>
    <row r="105" spans="1:11">
      <c r="A105" s="261" t="s">
        <v>1034</v>
      </c>
      <c r="B105" s="256" t="str">
        <f>Language!A562</f>
        <v>Are temperatures recorded each day of use?</v>
      </c>
      <c r="C105" s="254"/>
      <c r="F105" s="29">
        <f>C105</f>
        <v>0</v>
      </c>
      <c r="G105" s="18" t="str">
        <f t="shared" ref="G105:G106" si="17">IF(F105="Yes",1,IF(F105="No",0,"'"))</f>
        <v>'</v>
      </c>
      <c r="H105" s="440"/>
    </row>
    <row r="106" spans="1:11" ht="28.05" customHeight="1">
      <c r="A106" s="261" t="s">
        <v>1035</v>
      </c>
      <c r="B106" s="256" t="str">
        <f>Language!A563</f>
        <v>Is the acceptable temperature range (the minimum and maximum) clearly defined on the record sheet?</v>
      </c>
      <c r="C106" s="254"/>
      <c r="F106" s="29">
        <f>C106</f>
        <v>0</v>
      </c>
      <c r="G106" s="18" t="str">
        <f t="shared" si="17"/>
        <v>'</v>
      </c>
      <c r="H106" s="440"/>
    </row>
    <row r="107" spans="1:11">
      <c r="A107" s="16"/>
      <c r="B107" s="49" t="str">
        <f>Language!A564</f>
        <v>Standard: Acceptable ranges should be defined for all temperature dependent equipment</v>
      </c>
      <c r="C107" s="28"/>
      <c r="F107" s="28"/>
      <c r="H107" s="267"/>
    </row>
    <row r="108" spans="1:11">
      <c r="A108" s="261" t="s">
        <v>1036</v>
      </c>
      <c r="B108" s="169" t="str">
        <f>Language!A565</f>
        <v>Is there documentation of corrective action taken in response to out of range temperatures?</v>
      </c>
      <c r="C108" s="254"/>
      <c r="F108" s="29">
        <f>C108</f>
        <v>0</v>
      </c>
      <c r="G108" s="18" t="str">
        <f>IF(F108=1,1,IF(F108=0,"'",0))</f>
        <v>'</v>
      </c>
      <c r="H108" s="440"/>
    </row>
    <row r="109" spans="1:11">
      <c r="A109" s="16"/>
      <c r="B109" s="465" t="str">
        <f>Language!A566</f>
        <v>1: Yes - 2: No action is documented - 3: Temperatures are not recorded </v>
      </c>
      <c r="C109" s="22"/>
      <c r="H109" s="267"/>
    </row>
    <row r="110" spans="1:11" s="565" customFormat="1" ht="24" customHeight="1" thickBot="1">
      <c r="A110" s="563"/>
      <c r="B110" s="640" t="str">
        <f>Language!A567</f>
        <v>Standard: Procedures should be available with instruction as to what action(s) should be taken when temperatures are out of range</v>
      </c>
      <c r="C110" s="644"/>
      <c r="D110" s="564"/>
      <c r="F110" s="566"/>
      <c r="H110" s="567"/>
      <c r="J110" s="564"/>
      <c r="K110" s="564"/>
    </row>
    <row r="111" spans="1:11" ht="16.2" thickBot="1">
      <c r="A111" s="165"/>
      <c r="B111" s="87" t="str">
        <f>Language!A568</f>
        <v>AUTOCLAVE MANAGEMENT</v>
      </c>
      <c r="C111" s="73" t="str">
        <f>IF(COUNTBLANK(C113:C118)=6,"???",IF(COUNT(G113:G118)=0,"NA",AVERAGE(G113:G118)))</f>
        <v>???</v>
      </c>
      <c r="F111" s="28"/>
      <c r="H111" s="432"/>
    </row>
    <row r="112" spans="1:11" ht="27.6">
      <c r="A112" s="16"/>
      <c r="B112" s="20" t="str">
        <f>Language!A569</f>
        <v>Do records demonstrate that the following mechanical indicators are recorded each time the autoclave is run? (Review logs to confirm)</v>
      </c>
      <c r="C112" s="22"/>
      <c r="F112" s="28"/>
    </row>
    <row r="113" spans="1:10">
      <c r="A113" s="158" t="s">
        <v>1037</v>
      </c>
      <c r="B113" s="37" t="str">
        <f>Language!A570</f>
        <v>Temperature</v>
      </c>
      <c r="C113" s="27"/>
      <c r="F113" s="29">
        <f t="shared" ref="F113:F118" si="18">C113</f>
        <v>0</v>
      </c>
      <c r="G113" s="18" t="str">
        <f t="shared" ref="G113:G116" si="19">IF(F113="Yes",1,IF(F113="No",0,"'"))</f>
        <v>'</v>
      </c>
      <c r="H113" s="441"/>
    </row>
    <row r="114" spans="1:10">
      <c r="A114" s="158" t="s">
        <v>1038</v>
      </c>
      <c r="B114" s="37" t="str">
        <f>Language!A571</f>
        <v>Pressure</v>
      </c>
      <c r="C114" s="27"/>
      <c r="F114" s="29">
        <f t="shared" si="18"/>
        <v>0</v>
      </c>
      <c r="G114" s="18" t="str">
        <f t="shared" si="19"/>
        <v>'</v>
      </c>
      <c r="H114" s="441"/>
    </row>
    <row r="115" spans="1:10">
      <c r="A115" s="158" t="s">
        <v>1039</v>
      </c>
      <c r="B115" s="37" t="str">
        <f>Language!A572</f>
        <v>Cycle Time</v>
      </c>
      <c r="C115" s="27"/>
      <c r="F115" s="29">
        <f t="shared" si="18"/>
        <v>0</v>
      </c>
      <c r="G115" s="18" t="str">
        <f t="shared" si="19"/>
        <v>'</v>
      </c>
      <c r="H115" s="441"/>
    </row>
    <row r="116" spans="1:10" ht="40.950000000000003" customHeight="1">
      <c r="A116" s="158" t="s">
        <v>1040</v>
      </c>
      <c r="B116" s="20" t="str">
        <f>Language!A573</f>
        <v>Do records demonstrate that chemical indicators (e.g., heat sensitive tape) are used each time the autoclave is run? (Review logs to confirm)</v>
      </c>
      <c r="C116" s="27"/>
      <c r="F116" s="29">
        <f t="shared" si="18"/>
        <v>0</v>
      </c>
      <c r="G116" s="18" t="str">
        <f t="shared" si="19"/>
        <v>'</v>
      </c>
      <c r="H116" s="440"/>
    </row>
    <row r="117" spans="1:10" ht="55.35" customHeight="1">
      <c r="A117" s="158" t="s">
        <v>1041</v>
      </c>
      <c r="B117" s="20" t="str">
        <f>Language!A574</f>
        <v>Do records demonstrate that biological indicators (e.g., Attest or other spore system) are used to confirm the autoclave is achieving sterilization? (Review logs to confirm). 1- Weekly, 2- Monthly, 3- Less than monthly, 4- No records</v>
      </c>
      <c r="C117" s="27"/>
      <c r="F117" s="29">
        <f t="shared" si="18"/>
        <v>0</v>
      </c>
      <c r="G117" s="18" t="str">
        <f>IF(F117=1,1,IF(F117=2,0.5,IF(F117=0,"'",0)))</f>
        <v>'</v>
      </c>
      <c r="H117" s="440"/>
    </row>
    <row r="118" spans="1:10" ht="16.2" thickBot="1">
      <c r="A118" s="158" t="s">
        <v>1042</v>
      </c>
      <c r="B118" s="129" t="str">
        <f>Language!A575</f>
        <v>Is the same autoclave used for both media preparation and waste sterilization?</v>
      </c>
      <c r="C118" s="27"/>
      <c r="F118" s="29">
        <f t="shared" si="18"/>
        <v>0</v>
      </c>
      <c r="G118" s="18" t="str">
        <f>IF(F118="Yes",0,IF(F118="No",1,"'"))</f>
        <v>'</v>
      </c>
      <c r="H118" s="441"/>
    </row>
    <row r="119" spans="1:10" ht="16.2" thickBot="1">
      <c r="A119" s="165"/>
      <c r="B119" s="14" t="str">
        <f>Language!A576</f>
        <v>INSTRUMENT AVAILABILITY AND MAINTENANCE</v>
      </c>
      <c r="C119" s="47" t="str">
        <f>IF(COUNTBLANK(C121:C157)=37,"???",IF(COUNT(G121:G157)=0,"NA",AVERAGE(G121:G157)))</f>
        <v>???</v>
      </c>
      <c r="H119" s="432"/>
    </row>
    <row r="120" spans="1:10">
      <c r="A120" s="16"/>
      <c r="B120" s="61" t="str">
        <f>Language!A577</f>
        <v>Enter quantity in column D (#)</v>
      </c>
      <c r="D120" s="471" t="s">
        <v>323</v>
      </c>
    </row>
    <row r="121" spans="1:10" ht="28.05" customHeight="1">
      <c r="A121" s="158" t="s">
        <v>2225</v>
      </c>
      <c r="B121" s="20" t="str">
        <f>Language!A578</f>
        <v>Does the lab have an automated blood culture instrument? (indicate manufacturer and model in comments)</v>
      </c>
      <c r="C121" s="442"/>
      <c r="D121" s="445"/>
      <c r="F121" s="23">
        <f t="shared" ref="F121:F157" si="20">C121</f>
        <v>0</v>
      </c>
      <c r="G121" s="18" t="str">
        <f>IF(F121="Yes",1,"'")</f>
        <v>'</v>
      </c>
      <c r="H121" s="428" t="str">
        <f>Language!A635</f>
        <v>BRAND:</v>
      </c>
      <c r="J121" s="516"/>
    </row>
    <row r="122" spans="1:10">
      <c r="A122" s="158" t="s">
        <v>1043</v>
      </c>
      <c r="B122" s="37" t="str">
        <f>Language!A579</f>
        <v>Is the instrument functional today?</v>
      </c>
      <c r="C122" s="442"/>
      <c r="D122" s="161"/>
      <c r="F122" s="23">
        <f t="shared" si="20"/>
        <v>0</v>
      </c>
      <c r="G122" s="18" t="str">
        <f t="shared" ref="G122:G127" si="21">IF(F122="Yes",1,IF(F122="No",0,"'"))</f>
        <v>'</v>
      </c>
      <c r="H122" s="429"/>
      <c r="J122" s="516"/>
    </row>
    <row r="123" spans="1:10">
      <c r="A123" s="158" t="s">
        <v>1044</v>
      </c>
      <c r="B123" s="37" t="str">
        <f>Language!A580</f>
        <v>Is a user manual present?</v>
      </c>
      <c r="C123" s="442"/>
      <c r="D123" s="161"/>
      <c r="F123" s="23">
        <f t="shared" si="20"/>
        <v>0</v>
      </c>
      <c r="G123" s="18" t="str">
        <f t="shared" si="21"/>
        <v>'</v>
      </c>
      <c r="H123" s="429"/>
      <c r="J123" s="22"/>
    </row>
    <row r="124" spans="1:10">
      <c r="A124" s="158" t="s">
        <v>1045</v>
      </c>
      <c r="B124" s="37" t="str">
        <f>Language!A581</f>
        <v>Are routine (user) maintenance records present?</v>
      </c>
      <c r="C124" s="442"/>
      <c r="D124" s="161"/>
      <c r="F124" s="23">
        <f t="shared" si="20"/>
        <v>0</v>
      </c>
      <c r="G124" s="18" t="str">
        <f t="shared" si="21"/>
        <v>'</v>
      </c>
      <c r="H124" s="429"/>
      <c r="J124" s="22"/>
    </row>
    <row r="125" spans="1:10">
      <c r="A125" s="158" t="s">
        <v>1046</v>
      </c>
      <c r="B125" s="37" t="str">
        <f>Language!A582</f>
        <v>Are preventive (vendor) maintenance records present?</v>
      </c>
      <c r="C125" s="442"/>
      <c r="D125" s="161"/>
      <c r="F125" s="23">
        <f t="shared" si="20"/>
        <v>0</v>
      </c>
      <c r="G125" s="18" t="str">
        <f t="shared" si="21"/>
        <v>'</v>
      </c>
      <c r="H125" s="429"/>
      <c r="J125" s="22"/>
    </row>
    <row r="126" spans="1:10">
      <c r="A126" s="158" t="s">
        <v>1047</v>
      </c>
      <c r="B126" s="37" t="str">
        <f>Language!A583</f>
        <v>Is a service contract in place?</v>
      </c>
      <c r="C126" s="442"/>
      <c r="D126" s="161"/>
      <c r="F126" s="23">
        <f t="shared" si="20"/>
        <v>0</v>
      </c>
      <c r="G126" s="18" t="str">
        <f t="shared" si="21"/>
        <v>'</v>
      </c>
      <c r="H126" s="429"/>
      <c r="J126" s="516"/>
    </row>
    <row r="127" spans="1:10">
      <c r="A127" s="158" t="s">
        <v>1048</v>
      </c>
      <c r="B127" s="37" t="str">
        <f>Language!A584</f>
        <v>Is the software up to date?</v>
      </c>
      <c r="C127" s="442"/>
      <c r="D127" s="161"/>
      <c r="F127" s="23">
        <f t="shared" si="20"/>
        <v>0</v>
      </c>
      <c r="G127" s="18" t="str">
        <f t="shared" si="21"/>
        <v>'</v>
      </c>
      <c r="H127" s="429"/>
      <c r="J127" s="516"/>
    </row>
    <row r="128" spans="1:10" ht="28.05" customHeight="1">
      <c r="A128" s="158" t="s">
        <v>1049</v>
      </c>
      <c r="B128" s="20" t="str">
        <f>Language!A585</f>
        <v>Does the lab have an automated instrument for bacterial ID and AST? (e.g., Vitek, Microscan, Phoenix)</v>
      </c>
      <c r="C128" s="442"/>
      <c r="D128" s="445"/>
      <c r="F128" s="23">
        <f t="shared" si="20"/>
        <v>0</v>
      </c>
      <c r="G128" s="18" t="str">
        <f>IF(F128="Yes",1,"'")</f>
        <v>'</v>
      </c>
      <c r="H128" s="428" t="str">
        <f>H121</f>
        <v>BRAND:</v>
      </c>
      <c r="J128" s="516"/>
    </row>
    <row r="129" spans="1:10">
      <c r="A129" s="158" t="s">
        <v>1050</v>
      </c>
      <c r="B129" s="37" t="str">
        <f>Language!A586</f>
        <v>Is the instrument functional today?</v>
      </c>
      <c r="C129" s="442"/>
      <c r="D129" s="161"/>
      <c r="F129" s="23">
        <f t="shared" si="20"/>
        <v>0</v>
      </c>
      <c r="G129" s="18" t="str">
        <f t="shared" ref="G129:G134" si="22">IF(F129="Yes",1,IF(F129="No",0,"'"))</f>
        <v>'</v>
      </c>
      <c r="H129" s="429"/>
      <c r="J129" s="516"/>
    </row>
    <row r="130" spans="1:10">
      <c r="A130" s="158" t="s">
        <v>1051</v>
      </c>
      <c r="B130" s="37" t="str">
        <f>Language!A587</f>
        <v>Is a user manual present?</v>
      </c>
      <c r="C130" s="442"/>
      <c r="D130" s="161"/>
      <c r="F130" s="23">
        <f t="shared" si="20"/>
        <v>0</v>
      </c>
      <c r="G130" s="18" t="str">
        <f t="shared" si="22"/>
        <v>'</v>
      </c>
      <c r="H130" s="429"/>
      <c r="J130" s="516"/>
    </row>
    <row r="131" spans="1:10">
      <c r="A131" s="158" t="s">
        <v>1052</v>
      </c>
      <c r="B131" s="37" t="str">
        <f>Language!A588</f>
        <v>Are routine (user) maintenance records present?</v>
      </c>
      <c r="C131" s="442"/>
      <c r="D131" s="161"/>
      <c r="F131" s="23">
        <f t="shared" si="20"/>
        <v>0</v>
      </c>
      <c r="G131" s="18" t="str">
        <f t="shared" si="22"/>
        <v>'</v>
      </c>
      <c r="H131" s="429"/>
      <c r="J131" s="516"/>
    </row>
    <row r="132" spans="1:10">
      <c r="A132" s="158" t="s">
        <v>1053</v>
      </c>
      <c r="B132" s="37" t="str">
        <f>Language!A589</f>
        <v>Are preventive (vendor) maintenance records present?</v>
      </c>
      <c r="C132" s="442"/>
      <c r="D132" s="161"/>
      <c r="F132" s="23">
        <f t="shared" si="20"/>
        <v>0</v>
      </c>
      <c r="G132" s="18" t="str">
        <f t="shared" si="22"/>
        <v>'</v>
      </c>
      <c r="H132" s="429"/>
      <c r="J132" s="516"/>
    </row>
    <row r="133" spans="1:10">
      <c r="A133" s="158" t="s">
        <v>1054</v>
      </c>
      <c r="B133" s="37" t="str">
        <f>Language!A590</f>
        <v>Is a service contract in place?</v>
      </c>
      <c r="C133" s="442"/>
      <c r="D133" s="161"/>
      <c r="F133" s="23">
        <f t="shared" si="20"/>
        <v>0</v>
      </c>
      <c r="G133" s="18" t="str">
        <f t="shared" si="22"/>
        <v>'</v>
      </c>
      <c r="H133" s="429"/>
      <c r="J133" s="516"/>
    </row>
    <row r="134" spans="1:10">
      <c r="A134" s="158" t="s">
        <v>1055</v>
      </c>
      <c r="B134" s="37" t="str">
        <f>Language!A591</f>
        <v>Is the software up to date?</v>
      </c>
      <c r="C134" s="442"/>
      <c r="D134" s="161"/>
      <c r="F134" s="23">
        <f t="shared" si="20"/>
        <v>0</v>
      </c>
      <c r="G134" s="18" t="str">
        <f t="shared" si="22"/>
        <v>'</v>
      </c>
      <c r="H134" s="429"/>
      <c r="J134" s="516"/>
    </row>
    <row r="135" spans="1:10" ht="28.05" customHeight="1">
      <c r="A135" s="158" t="s">
        <v>1056</v>
      </c>
      <c r="B135" s="20" t="str">
        <f>Language!A592</f>
        <v>Does the lab have an automated instrument for reading disk diffusion? (e.g., SIRSCAN, BIOMIC V3, ADAGIO, etc.)</v>
      </c>
      <c r="C135" s="442"/>
      <c r="D135" s="445"/>
      <c r="F135" s="23">
        <f t="shared" si="20"/>
        <v>0</v>
      </c>
      <c r="G135" s="18" t="str">
        <f>IF(F135="Yes",1,"'")</f>
        <v>'</v>
      </c>
      <c r="H135" s="428" t="str">
        <f>Language!A636</f>
        <v>BRAND/ MODEL:</v>
      </c>
      <c r="J135" s="516"/>
    </row>
    <row r="136" spans="1:10">
      <c r="A136" s="158" t="s">
        <v>1057</v>
      </c>
      <c r="B136" s="37" t="str">
        <f>Language!A593</f>
        <v>Is the instrument functional today?</v>
      </c>
      <c r="C136" s="442"/>
      <c r="D136" s="161"/>
      <c r="F136" s="23">
        <f t="shared" si="20"/>
        <v>0</v>
      </c>
      <c r="G136" s="18" t="str">
        <f t="shared" ref="G136:G141" si="23">IF(F136="Yes",1,IF(F136="No",0,"'"))</f>
        <v>'</v>
      </c>
      <c r="H136" s="429"/>
      <c r="J136" s="516"/>
    </row>
    <row r="137" spans="1:10">
      <c r="A137" s="158" t="s">
        <v>1058</v>
      </c>
      <c r="B137" s="37" t="str">
        <f>Language!A594</f>
        <v>Is a user manual present?</v>
      </c>
      <c r="C137" s="442"/>
      <c r="D137" s="161"/>
      <c r="F137" s="23">
        <f t="shared" si="20"/>
        <v>0</v>
      </c>
      <c r="G137" s="18" t="str">
        <f t="shared" si="23"/>
        <v>'</v>
      </c>
      <c r="H137" s="429"/>
      <c r="J137" s="516"/>
    </row>
    <row r="138" spans="1:10">
      <c r="A138" s="158" t="s">
        <v>1059</v>
      </c>
      <c r="B138" s="37" t="str">
        <f>Language!A595</f>
        <v>Are routine (user) maintenance records present?</v>
      </c>
      <c r="C138" s="442"/>
      <c r="D138" s="161"/>
      <c r="F138" s="23">
        <f t="shared" si="20"/>
        <v>0</v>
      </c>
      <c r="G138" s="18" t="str">
        <f t="shared" si="23"/>
        <v>'</v>
      </c>
      <c r="H138" s="429"/>
      <c r="J138" s="516"/>
    </row>
    <row r="139" spans="1:10">
      <c r="A139" s="158" t="s">
        <v>1060</v>
      </c>
      <c r="B139" s="37" t="str">
        <f>Language!A596</f>
        <v>Are preventive (vendor) maintenance records present?</v>
      </c>
      <c r="C139" s="442"/>
      <c r="D139" s="161"/>
      <c r="F139" s="23">
        <f t="shared" si="20"/>
        <v>0</v>
      </c>
      <c r="G139" s="18" t="str">
        <f t="shared" si="23"/>
        <v>'</v>
      </c>
      <c r="H139" s="429"/>
      <c r="J139" s="516"/>
    </row>
    <row r="140" spans="1:10">
      <c r="A140" s="158" t="s">
        <v>1061</v>
      </c>
      <c r="B140" s="37" t="str">
        <f>Language!A597</f>
        <v>Is a service contract in place?</v>
      </c>
      <c r="C140" s="442"/>
      <c r="D140" s="161"/>
      <c r="F140" s="23">
        <f t="shared" si="20"/>
        <v>0</v>
      </c>
      <c r="G140" s="18" t="str">
        <f t="shared" si="23"/>
        <v>'</v>
      </c>
      <c r="H140" s="429"/>
      <c r="J140" s="516"/>
    </row>
    <row r="141" spans="1:10">
      <c r="A141" s="158" t="s">
        <v>1062</v>
      </c>
      <c r="B141" s="37" t="str">
        <f>Language!A598</f>
        <v>Is the software up to date?</v>
      </c>
      <c r="C141" s="442"/>
      <c r="D141" s="161"/>
      <c r="F141" s="23">
        <f t="shared" si="20"/>
        <v>0</v>
      </c>
      <c r="G141" s="18" t="str">
        <f t="shared" si="23"/>
        <v>'</v>
      </c>
      <c r="H141" s="429"/>
      <c r="J141" s="516"/>
    </row>
    <row r="142" spans="1:10" ht="28.05" customHeight="1">
      <c r="A142" s="158" t="s">
        <v>1063</v>
      </c>
      <c r="B142" s="20" t="str">
        <f>Language!A599</f>
        <v>Does the lab have a MALDI instrument for organism ID? (e.g., Bruker, Biomerieux)</v>
      </c>
      <c r="C142" s="442"/>
      <c r="D142" s="445"/>
      <c r="F142" s="23">
        <f t="shared" si="20"/>
        <v>0</v>
      </c>
      <c r="G142" s="18" t="str">
        <f>IF(F142="Yes",1,"'")</f>
        <v>'</v>
      </c>
      <c r="H142" s="428" t="str">
        <f>H135</f>
        <v>BRAND/ MODEL:</v>
      </c>
      <c r="J142" s="516"/>
    </row>
    <row r="143" spans="1:10">
      <c r="A143" s="158" t="s">
        <v>1818</v>
      </c>
      <c r="B143" s="37" t="str">
        <f>Language!A600</f>
        <v>Is the instrument functional today?</v>
      </c>
      <c r="C143" s="442"/>
      <c r="D143" s="161"/>
      <c r="F143" s="23">
        <f t="shared" si="20"/>
        <v>0</v>
      </c>
      <c r="G143" s="18" t="str">
        <f t="shared" ref="G143:G148" si="24">IF(F143="Yes",1,IF(F143="No",0,"'"))</f>
        <v>'</v>
      </c>
      <c r="H143" s="429"/>
      <c r="J143" s="516"/>
    </row>
    <row r="144" spans="1:10">
      <c r="A144" s="158" t="s">
        <v>1819</v>
      </c>
      <c r="B144" s="37" t="str">
        <f>Language!A601</f>
        <v>Is a user manual present?</v>
      </c>
      <c r="C144" s="442"/>
      <c r="D144" s="161"/>
      <c r="F144" s="23">
        <f t="shared" si="20"/>
        <v>0</v>
      </c>
      <c r="G144" s="18" t="str">
        <f t="shared" si="24"/>
        <v>'</v>
      </c>
      <c r="H144" s="429"/>
      <c r="J144" s="516"/>
    </row>
    <row r="145" spans="1:10">
      <c r="A145" s="158" t="s">
        <v>1820</v>
      </c>
      <c r="B145" s="37" t="str">
        <f>Language!A602</f>
        <v>Are routine (user) maintenance records present?</v>
      </c>
      <c r="C145" s="442"/>
      <c r="D145" s="161"/>
      <c r="F145" s="23">
        <f t="shared" si="20"/>
        <v>0</v>
      </c>
      <c r="G145" s="18" t="str">
        <f t="shared" si="24"/>
        <v>'</v>
      </c>
      <c r="H145" s="429"/>
      <c r="J145" s="516"/>
    </row>
    <row r="146" spans="1:10">
      <c r="A146" s="158" t="s">
        <v>1821</v>
      </c>
      <c r="B146" s="37" t="str">
        <f>Language!A603</f>
        <v>Are preventive (vendor) maintenance records present?</v>
      </c>
      <c r="C146" s="442"/>
      <c r="D146" s="161"/>
      <c r="F146" s="23">
        <f t="shared" si="20"/>
        <v>0</v>
      </c>
      <c r="G146" s="18" t="str">
        <f t="shared" si="24"/>
        <v>'</v>
      </c>
      <c r="H146" s="429"/>
      <c r="J146" s="516"/>
    </row>
    <row r="147" spans="1:10">
      <c r="A147" s="158" t="s">
        <v>1822</v>
      </c>
      <c r="B147" s="37" t="str">
        <f>Language!A604</f>
        <v>Is a service contract in place?</v>
      </c>
      <c r="C147" s="442"/>
      <c r="D147" s="161"/>
      <c r="F147" s="23">
        <f t="shared" si="20"/>
        <v>0</v>
      </c>
      <c r="G147" s="18" t="str">
        <f t="shared" si="24"/>
        <v>'</v>
      </c>
      <c r="H147" s="429"/>
      <c r="J147" s="516"/>
    </row>
    <row r="148" spans="1:10">
      <c r="A148" s="158" t="s">
        <v>1823</v>
      </c>
      <c r="B148" s="37" t="str">
        <f>Language!A605</f>
        <v>Is the software up to date?</v>
      </c>
      <c r="C148" s="442"/>
      <c r="D148" s="161"/>
      <c r="F148" s="23">
        <f t="shared" si="20"/>
        <v>0</v>
      </c>
      <c r="G148" s="18" t="str">
        <f t="shared" si="24"/>
        <v>'</v>
      </c>
      <c r="H148" s="429"/>
      <c r="J148" s="516"/>
    </row>
    <row r="149" spans="1:10" ht="28.05" customHeight="1">
      <c r="A149" s="158" t="s">
        <v>1824</v>
      </c>
      <c r="B149" s="20" t="str">
        <f>Language!A606</f>
        <v>Does the lab have a PCR instrument used for detecting antibiotic resistance genes? (e.g., GeneXpert)</v>
      </c>
      <c r="C149" s="442"/>
      <c r="D149" s="445"/>
      <c r="F149" s="23">
        <f t="shared" si="20"/>
        <v>0</v>
      </c>
      <c r="G149" s="18" t="str">
        <f>IF(F149="Yes",1,"'")</f>
        <v>'</v>
      </c>
      <c r="H149" s="428" t="str">
        <f>H135</f>
        <v>BRAND/ MODEL:</v>
      </c>
      <c r="J149" s="516"/>
    </row>
    <row r="150" spans="1:10">
      <c r="A150" s="158" t="s">
        <v>1825</v>
      </c>
      <c r="B150" s="37" t="str">
        <f>Language!A607</f>
        <v>Is the instrument functional today?</v>
      </c>
      <c r="C150" s="442"/>
      <c r="D150" s="161"/>
      <c r="F150" s="23">
        <f t="shared" si="20"/>
        <v>0</v>
      </c>
      <c r="G150" s="18" t="str">
        <f t="shared" ref="G150:G155" si="25">IF(F150="Yes",1,IF(F150="No",0,"'"))</f>
        <v>'</v>
      </c>
      <c r="H150" s="429"/>
      <c r="J150" s="516"/>
    </row>
    <row r="151" spans="1:10">
      <c r="A151" s="158" t="s">
        <v>1826</v>
      </c>
      <c r="B151" s="37" t="str">
        <f>Language!A608</f>
        <v>Is a user manual present?</v>
      </c>
      <c r="C151" s="442"/>
      <c r="D151" s="161"/>
      <c r="F151" s="23">
        <f t="shared" si="20"/>
        <v>0</v>
      </c>
      <c r="G151" s="18" t="str">
        <f t="shared" si="25"/>
        <v>'</v>
      </c>
      <c r="H151" s="429"/>
      <c r="J151" s="516"/>
    </row>
    <row r="152" spans="1:10">
      <c r="A152" s="158" t="s">
        <v>1827</v>
      </c>
      <c r="B152" s="37" t="str">
        <f>Language!A609</f>
        <v>Are routine (user) maintenance records present?</v>
      </c>
      <c r="C152" s="442"/>
      <c r="D152" s="161"/>
      <c r="F152" s="23">
        <f t="shared" si="20"/>
        <v>0</v>
      </c>
      <c r="G152" s="18" t="str">
        <f t="shared" si="25"/>
        <v>'</v>
      </c>
      <c r="H152" s="429"/>
      <c r="J152" s="516"/>
    </row>
    <row r="153" spans="1:10">
      <c r="A153" s="158" t="s">
        <v>1828</v>
      </c>
      <c r="B153" s="37" t="str">
        <f>Language!A610</f>
        <v>Are preventive (vendor) maintenance records present?</v>
      </c>
      <c r="C153" s="442"/>
      <c r="D153" s="161"/>
      <c r="F153" s="23">
        <f t="shared" si="20"/>
        <v>0</v>
      </c>
      <c r="G153" s="18" t="str">
        <f t="shared" si="25"/>
        <v>'</v>
      </c>
      <c r="H153" s="429"/>
      <c r="J153" s="516"/>
    </row>
    <row r="154" spans="1:10">
      <c r="A154" s="158" t="s">
        <v>1829</v>
      </c>
      <c r="B154" s="37" t="str">
        <f>Language!A611</f>
        <v>Is a service contract in place?</v>
      </c>
      <c r="C154" s="442"/>
      <c r="D154" s="161"/>
      <c r="F154" s="23">
        <f t="shared" si="20"/>
        <v>0</v>
      </c>
      <c r="G154" s="18" t="str">
        <f t="shared" si="25"/>
        <v>'</v>
      </c>
      <c r="H154" s="429"/>
      <c r="J154" s="516"/>
    </row>
    <row r="155" spans="1:10">
      <c r="A155" s="158" t="s">
        <v>1830</v>
      </c>
      <c r="B155" s="37" t="str">
        <f>Language!A612</f>
        <v>Is the software up to date?</v>
      </c>
      <c r="C155" s="442"/>
      <c r="D155" s="161"/>
      <c r="F155" s="23">
        <f t="shared" si="20"/>
        <v>0</v>
      </c>
      <c r="G155" s="18" t="str">
        <f t="shared" si="25"/>
        <v>'</v>
      </c>
      <c r="H155" s="429"/>
      <c r="J155" s="516"/>
    </row>
    <row r="156" spans="1:10" ht="27.6">
      <c r="A156" s="158" t="s">
        <v>1831</v>
      </c>
      <c r="B156" s="20" t="str">
        <f>Language!A613</f>
        <v>In the last 6 months, has prolonged instrument failure disrupted the ability to provide routine bacteriology services?</v>
      </c>
      <c r="C156" s="442"/>
      <c r="D156" s="161"/>
      <c r="F156" s="23">
        <f t="shared" si="20"/>
        <v>0</v>
      </c>
      <c r="G156" s="18" t="str">
        <f>IF(F156="Yes",0,IF(F156="No",1,"'"))</f>
        <v>'</v>
      </c>
      <c r="H156" s="429"/>
      <c r="I156" s="18" t="str">
        <f>IF(C156="Yes","System Flag","'")</f>
        <v>'</v>
      </c>
    </row>
    <row r="157" spans="1:10" ht="28.2" thickBot="1">
      <c r="A157" s="158" t="s">
        <v>2226</v>
      </c>
      <c r="B157" s="20" t="str">
        <f>Language!A614</f>
        <v>In the event of prolonged instrument failure, is a contingency plan in place to provide uninterrupted bacteriology services?</v>
      </c>
      <c r="C157" s="442"/>
      <c r="D157" s="161"/>
      <c r="F157" s="23">
        <f t="shared" si="20"/>
        <v>0</v>
      </c>
      <c r="G157" s="18" t="str">
        <f t="shared" ref="G157" si="26">IF(F157="Yes",1,IF(F157="No",0,"'"))</f>
        <v>'</v>
      </c>
      <c r="H157" s="429"/>
    </row>
    <row r="158" spans="1:10" ht="16.2" thickBot="1">
      <c r="A158" s="165"/>
      <c r="B158" s="14" t="str">
        <f>Language!A615</f>
        <v>INVENTORY &amp; STOCK OUTS</v>
      </c>
      <c r="C158" s="47" t="str">
        <f>IF(COUNTBLANK(C159:C173)=15,"???",IF(COUNT(G159:G173)=0,"NA",AVERAGE(G159:G173)))</f>
        <v>???</v>
      </c>
      <c r="H158" s="432"/>
    </row>
    <row r="159" spans="1:10">
      <c r="A159" s="158" t="s">
        <v>2227</v>
      </c>
      <c r="B159" s="8" t="str">
        <f>Language!A616</f>
        <v>Does the lab have an inventory control system in place?</v>
      </c>
      <c r="C159" s="442"/>
      <c r="F159" s="23">
        <f t="shared" ref="F159:F169" si="27">C159</f>
        <v>0</v>
      </c>
      <c r="G159" s="18" t="str">
        <f t="shared" ref="G159" si="28">IF(F159="Yes",1,IF(F159="No",0,"'"))</f>
        <v>'</v>
      </c>
      <c r="H159" s="429"/>
    </row>
    <row r="160" spans="1:10" ht="27.6">
      <c r="A160" s="158" t="s">
        <v>2228</v>
      </c>
      <c r="B160" s="72" t="str">
        <f>Language!A617</f>
        <v>In the last 6 months, has the lab/hospital experienced stock outs of specimen collection materials? (e.g., blood culture bottles, sterile cups, sterile swabs)</v>
      </c>
      <c r="C160" s="442"/>
      <c r="F160" s="23">
        <f t="shared" si="27"/>
        <v>0</v>
      </c>
      <c r="G160" s="18" t="str">
        <f>IF(F160="Yes",0,IF(F160="No",1,"'"))</f>
        <v>'</v>
      </c>
      <c r="H160" s="429"/>
      <c r="I160" s="513"/>
    </row>
    <row r="161" spans="1:9" ht="41.55" customHeight="1">
      <c r="A161" s="158" t="s">
        <v>2229</v>
      </c>
      <c r="B161" s="72" t="str">
        <f>Language!A618</f>
        <v>In the last 6 months, has the lab experienced stock outs of consumables? (e.g.,, petri dishes, tubes, sterile saline, pipettes, pipette tips, plastic inoculating loops, gloves, paper, gauze, disinfectant)</v>
      </c>
      <c r="C161" s="442"/>
      <c r="F161" s="23">
        <f t="shared" si="27"/>
        <v>0</v>
      </c>
      <c r="G161" s="18" t="str">
        <f t="shared" ref="G161:G168" si="29">IF(F161="Yes",0,IF(F161="No",1,"'"))</f>
        <v>'</v>
      </c>
      <c r="H161" s="429"/>
      <c r="I161" s="513"/>
    </row>
    <row r="162" spans="1:9" ht="27.6">
      <c r="A162" s="158" t="s">
        <v>2230</v>
      </c>
      <c r="B162" s="72" t="str">
        <f>Language!A619</f>
        <v>In the last 6 months, has the lab experienced stock outs of media? (e.g., powdered media, sheep blood, other additives, tubed media)</v>
      </c>
      <c r="C162" s="442"/>
      <c r="F162" s="23">
        <f t="shared" si="27"/>
        <v>0</v>
      </c>
      <c r="G162" s="18" t="str">
        <f t="shared" si="29"/>
        <v>'</v>
      </c>
      <c r="H162" s="443"/>
      <c r="I162" s="513"/>
    </row>
    <row r="163" spans="1:9" ht="27.6">
      <c r="A163" s="158" t="s">
        <v>2231</v>
      </c>
      <c r="B163" s="72" t="str">
        <f>Language!A620</f>
        <v>In the last 6 months, has the lab experienced stock outs of conventional reagents? (e.g., oxidase reagent, indole reagent, catalase reagent, coagulase reagent, etc.)</v>
      </c>
      <c r="C163" s="442"/>
      <c r="F163" s="23">
        <f t="shared" si="27"/>
        <v>0</v>
      </c>
      <c r="G163" s="18" t="str">
        <f t="shared" si="29"/>
        <v>'</v>
      </c>
      <c r="H163" s="443"/>
      <c r="I163" s="513"/>
    </row>
    <row r="164" spans="1:9" ht="28.05" customHeight="1">
      <c r="A164" s="158" t="s">
        <v>2232</v>
      </c>
      <c r="B164" s="72" t="str">
        <f>Language!A621</f>
        <v>In the last 6 months, has the lab experienced stock outs of antibiotic disks or strips?</v>
      </c>
      <c r="C164" s="442"/>
      <c r="F164" s="23">
        <f t="shared" si="27"/>
        <v>0</v>
      </c>
      <c r="G164" s="18" t="str">
        <f t="shared" si="29"/>
        <v>'</v>
      </c>
      <c r="H164" s="443"/>
      <c r="I164" s="513"/>
    </row>
    <row r="165" spans="1:9" ht="28.05" customHeight="1">
      <c r="A165" s="158" t="s">
        <v>2233</v>
      </c>
      <c r="B165" s="72" t="str">
        <f>Language!A622</f>
        <v>In the last 6 months, has the lab experienced stock outs of ID or AST cards/trays for the automated instruments?</v>
      </c>
      <c r="C165" s="442"/>
      <c r="F165" s="23">
        <f t="shared" si="27"/>
        <v>0</v>
      </c>
      <c r="G165" s="18" t="str">
        <f t="shared" si="29"/>
        <v>'</v>
      </c>
      <c r="H165" s="443"/>
      <c r="I165" s="513"/>
    </row>
    <row r="166" spans="1:9" ht="28.05" customHeight="1">
      <c r="A166" s="158" t="s">
        <v>2234</v>
      </c>
      <c r="B166" s="72" t="str">
        <f>Language!A623</f>
        <v xml:space="preserve">In the last 6 months, has the lab experienced stock outs of control materials or reference strains? </v>
      </c>
      <c r="C166" s="442"/>
      <c r="F166" s="23">
        <f t="shared" si="27"/>
        <v>0</v>
      </c>
      <c r="G166" s="18" t="str">
        <f t="shared" si="29"/>
        <v>'</v>
      </c>
      <c r="H166" s="429"/>
      <c r="I166" s="513"/>
    </row>
    <row r="167" spans="1:9">
      <c r="A167" s="158" t="s">
        <v>2235</v>
      </c>
      <c r="B167" s="72" t="str">
        <f>Language!A624</f>
        <v xml:space="preserve">In the last 6 months, has the lab experienced stock outs of other key materials? </v>
      </c>
      <c r="C167" s="442"/>
      <c r="F167" s="23">
        <f t="shared" si="27"/>
        <v>0</v>
      </c>
      <c r="G167" s="18" t="str">
        <f t="shared" si="29"/>
        <v>'</v>
      </c>
      <c r="H167" s="430"/>
      <c r="I167" s="513"/>
    </row>
    <row r="168" spans="1:9" ht="28.05" customHeight="1">
      <c r="A168" s="158" t="s">
        <v>2236</v>
      </c>
      <c r="B168" s="72" t="str">
        <f>Language!A625</f>
        <v>In the last 6 months, have any stock outs disrupted the lab's ability to provide routine bacteriology services?</v>
      </c>
      <c r="C168" s="442"/>
      <c r="F168" s="23">
        <f t="shared" si="27"/>
        <v>0</v>
      </c>
      <c r="G168" s="18" t="str">
        <f t="shared" si="29"/>
        <v>'</v>
      </c>
      <c r="H168" s="429"/>
      <c r="I168" s="18" t="str">
        <f>IF(C168="Yes","System Flag","'")</f>
        <v>'</v>
      </c>
    </row>
    <row r="169" spans="1:9" ht="27.6" customHeight="1">
      <c r="A169" s="158" t="s">
        <v>2237</v>
      </c>
      <c r="B169" s="129" t="str">
        <f>Language!A626</f>
        <v>In the event of stock outs, is a contingency plan in place to provide uninterrupted bacteriology services?</v>
      </c>
      <c r="C169" s="442"/>
      <c r="D169" s="161"/>
      <c r="F169" s="23">
        <f t="shared" si="27"/>
        <v>0</v>
      </c>
      <c r="G169" s="18" t="str">
        <f t="shared" ref="G169" si="30">IF(F169="Yes",1,IF(F169="No",0,"'"))</f>
        <v>'</v>
      </c>
      <c r="H169" s="429"/>
    </row>
    <row r="170" spans="1:9" ht="22.8" customHeight="1">
      <c r="A170" s="16"/>
      <c r="B170" s="642" t="str">
        <f>Language!A627</f>
        <v>Standard: Testing services should not be subject to interruption due to stock outs. Laboratories should pursue all options for borrowing stock from another laboratory or referring samples to another testing facility while the stock out is being addressed.</v>
      </c>
      <c r="C170" s="643"/>
    </row>
    <row r="171" spans="1:9" ht="27.6">
      <c r="A171" s="158" t="s">
        <v>2238</v>
      </c>
      <c r="B171" s="20" t="str">
        <f>Language!A628</f>
        <v>Are all currently in use media, reagents and test kits within the manufacturer-assigned expiry dates? (Verify by random sampling)</v>
      </c>
      <c r="C171" s="442"/>
      <c r="F171" s="23">
        <f>C171</f>
        <v>0</v>
      </c>
      <c r="G171" s="18" t="str">
        <f t="shared" ref="G171" si="31">IF(F171="Yes",1,IF(F171="No",0,"'"))</f>
        <v>'</v>
      </c>
      <c r="H171" s="429"/>
    </row>
    <row r="172" spans="1:9" ht="20.55" customHeight="1">
      <c r="A172" s="16"/>
      <c r="B172" s="640" t="str">
        <f>Language!A629</f>
        <v>Standard: All reagent and test kits in use, as well as those in stock, should be within the manufacturer-assigned expiry dates. Expired stock should not be entered into use and should be documented before disposal.</v>
      </c>
      <c r="C172" s="644"/>
    </row>
    <row r="173" spans="1:9" ht="27.6">
      <c r="A173" s="158" t="s">
        <v>2239</v>
      </c>
      <c r="B173" s="8" t="str">
        <f>Language!A630</f>
        <v>Are all reconstituted reagents, such as coagulase plasma, within stability from the date of reconstitution? (Coagulase plasma expires 30 days after reconstitution when stored frozen).</v>
      </c>
      <c r="C173" s="442"/>
      <c r="F173" s="23">
        <f>C173</f>
        <v>0</v>
      </c>
      <c r="G173" s="18" t="str">
        <f t="shared" ref="G173" si="32">IF(F173="Yes",1,IF(F173="No",0,"'"))</f>
        <v>'</v>
      </c>
      <c r="H173" s="429"/>
      <c r="I173" s="513"/>
    </row>
    <row r="174" spans="1:9">
      <c r="B174" s="470"/>
    </row>
    <row r="175" spans="1:9">
      <c r="A175" s="518"/>
      <c r="B175" s="22"/>
      <c r="C175" s="22"/>
      <c r="H175" s="267"/>
    </row>
    <row r="176" spans="1:9">
      <c r="A176" s="518"/>
      <c r="B176" s="22"/>
      <c r="C176" s="22"/>
      <c r="H176" s="267"/>
    </row>
    <row r="177" spans="1:8">
      <c r="A177" s="518"/>
      <c r="B177" s="22"/>
      <c r="C177" s="22"/>
      <c r="H177" s="267"/>
    </row>
    <row r="178" spans="1:8">
      <c r="A178" s="518"/>
      <c r="B178" s="22"/>
      <c r="C178" s="22"/>
      <c r="H178" s="267"/>
    </row>
    <row r="185" spans="1:8">
      <c r="B185" s="22"/>
    </row>
  </sheetData>
  <sheetProtection algorithmName="SHA-256" hashValue="1A/KrflMdqTkcMO4QyBV/nxNQ9Pzy45HJo0xthAv/v4=" saltValue="EmWrP97MiayQBH6yDHQP4w==" spinCount="100000" sheet="1" objects="1" scenarios="1"/>
  <dataConsolidate/>
  <mergeCells count="5">
    <mergeCell ref="B79:B81"/>
    <mergeCell ref="B16:H16"/>
    <mergeCell ref="B170:C170"/>
    <mergeCell ref="B172:C172"/>
    <mergeCell ref="B110:C110"/>
  </mergeCells>
  <phoneticPr fontId="46" type="noConversion"/>
  <conditionalFormatting sqref="G14">
    <cfRule type="cellIs" dxfId="1978" priority="581" stopIfTrue="1" operator="lessThan">
      <formula>0.5</formula>
    </cfRule>
    <cfRule type="cellIs" dxfId="1977" priority="582" stopIfTrue="1" operator="between">
      <formula>0.5</formula>
      <formula>0.75</formula>
    </cfRule>
    <cfRule type="cellIs" dxfId="1976" priority="583" stopIfTrue="1" operator="greaterThan">
      <formula>0.75</formula>
    </cfRule>
  </conditionalFormatting>
  <conditionalFormatting sqref="C3">
    <cfRule type="cellIs" dxfId="1975" priority="578" stopIfTrue="1" operator="greaterThanOrEqual">
      <formula>0.8</formula>
    </cfRule>
    <cfRule type="cellIs" dxfId="1974" priority="579" stopIfTrue="1" operator="between">
      <formula>0.5</formula>
      <formula>0.799</formula>
    </cfRule>
    <cfRule type="cellIs" dxfId="1973" priority="580" stopIfTrue="1" operator="lessThan">
      <formula>0.5</formula>
    </cfRule>
  </conditionalFormatting>
  <conditionalFormatting sqref="C158">
    <cfRule type="cellIs" dxfId="1972" priority="560" stopIfTrue="1" operator="greaterThanOrEqual">
      <formula>0.8</formula>
    </cfRule>
    <cfRule type="cellIs" dxfId="1971" priority="561" stopIfTrue="1" operator="between">
      <formula>0.5</formula>
      <formula>0.799</formula>
    </cfRule>
    <cfRule type="cellIs" dxfId="1970" priority="562" stopIfTrue="1" operator="lessThan">
      <formula>0.5</formula>
    </cfRule>
  </conditionalFormatting>
  <conditionalFormatting sqref="C20">
    <cfRule type="cellIs" dxfId="1969" priority="335" stopIfTrue="1" operator="greaterThanOrEqual">
      <formula>0.8</formula>
    </cfRule>
    <cfRule type="cellIs" dxfId="1968" priority="336" stopIfTrue="1" operator="between">
      <formula>0.5</formula>
      <formula>0.799</formula>
    </cfRule>
    <cfRule type="cellIs" dxfId="1967" priority="337" stopIfTrue="1" operator="lessThan">
      <formula>0.5</formula>
    </cfRule>
  </conditionalFormatting>
  <conditionalFormatting sqref="C119">
    <cfRule type="cellIs" dxfId="1966" priority="332" stopIfTrue="1" operator="greaterThanOrEqual">
      <formula>0.8</formula>
    </cfRule>
    <cfRule type="cellIs" dxfId="1965" priority="333" stopIfTrue="1" operator="between">
      <formula>0.5</formula>
      <formula>0.799</formula>
    </cfRule>
    <cfRule type="cellIs" dxfId="1964" priority="334" stopIfTrue="1" operator="lessThan">
      <formula>0.5</formula>
    </cfRule>
  </conditionalFormatting>
  <conditionalFormatting sqref="C53">
    <cfRule type="cellIs" dxfId="1963" priority="329" stopIfTrue="1" operator="greaterThanOrEqual">
      <formula>0.8</formula>
    </cfRule>
    <cfRule type="cellIs" dxfId="1962" priority="330" stopIfTrue="1" operator="between">
      <formula>0.5</formula>
      <formula>0.799</formula>
    </cfRule>
    <cfRule type="cellIs" dxfId="1961" priority="331" stopIfTrue="1" operator="lessThan">
      <formula>0.5</formula>
    </cfRule>
  </conditionalFormatting>
  <conditionalFormatting sqref="G121">
    <cfRule type="cellIs" dxfId="1960" priority="260" stopIfTrue="1" operator="lessThan">
      <formula>0.5</formula>
    </cfRule>
    <cfRule type="cellIs" dxfId="1959" priority="261" stopIfTrue="1" operator="between">
      <formula>0.5</formula>
      <formula>0.75</formula>
    </cfRule>
    <cfRule type="cellIs" dxfId="1958" priority="262" stopIfTrue="1" operator="greaterThan">
      <formula>0.75</formula>
    </cfRule>
  </conditionalFormatting>
  <conditionalFormatting sqref="G128">
    <cfRule type="cellIs" dxfId="1957" priority="257" stopIfTrue="1" operator="lessThan">
      <formula>0.5</formula>
    </cfRule>
    <cfRule type="cellIs" dxfId="1956" priority="258" stopIfTrue="1" operator="between">
      <formula>0.5</formula>
      <formula>0.75</formula>
    </cfRule>
    <cfRule type="cellIs" dxfId="1955" priority="259" stopIfTrue="1" operator="greaterThan">
      <formula>0.75</formula>
    </cfRule>
  </conditionalFormatting>
  <conditionalFormatting sqref="C67">
    <cfRule type="cellIs" dxfId="1954" priority="221" stopIfTrue="1" operator="greaterThanOrEqual">
      <formula>0.8</formula>
    </cfRule>
    <cfRule type="cellIs" dxfId="1953" priority="222" stopIfTrue="1" operator="between">
      <formula>0.5</formula>
      <formula>0.799</formula>
    </cfRule>
    <cfRule type="cellIs" dxfId="1952" priority="223" stopIfTrue="1" operator="lessThan">
      <formula>0.5</formula>
    </cfRule>
  </conditionalFormatting>
  <conditionalFormatting sqref="G45:G46">
    <cfRule type="cellIs" dxfId="1951" priority="218" stopIfTrue="1" operator="lessThan">
      <formula>0.5</formula>
    </cfRule>
    <cfRule type="cellIs" dxfId="1950" priority="219" stopIfTrue="1" operator="between">
      <formula>0.5</formula>
      <formula>0.75</formula>
    </cfRule>
    <cfRule type="cellIs" dxfId="1949" priority="220" stopIfTrue="1" operator="greaterThan">
      <formula>0.75</formula>
    </cfRule>
  </conditionalFormatting>
  <conditionalFormatting sqref="C43">
    <cfRule type="cellIs" dxfId="1948" priority="215" stopIfTrue="1" operator="greaterThanOrEqual">
      <formula>0.8</formula>
    </cfRule>
    <cfRule type="cellIs" dxfId="1947" priority="216" stopIfTrue="1" operator="between">
      <formula>0.5</formula>
      <formula>0.799</formula>
    </cfRule>
    <cfRule type="cellIs" dxfId="1946" priority="217" stopIfTrue="1" operator="lessThan">
      <formula>0.5</formula>
    </cfRule>
  </conditionalFormatting>
  <conditionalFormatting sqref="G12:G13">
    <cfRule type="cellIs" dxfId="1945" priority="161" stopIfTrue="1" operator="lessThan">
      <formula>0.5</formula>
    </cfRule>
    <cfRule type="cellIs" dxfId="1944" priority="162" stopIfTrue="1" operator="between">
      <formula>0.5</formula>
      <formula>0.75</formula>
    </cfRule>
    <cfRule type="cellIs" dxfId="1943" priority="163" stopIfTrue="1" operator="greaterThan">
      <formula>0.75</formula>
    </cfRule>
  </conditionalFormatting>
  <conditionalFormatting sqref="G117">
    <cfRule type="cellIs" dxfId="1942" priority="171" stopIfTrue="1" operator="lessThan">
      <formula>0.5</formula>
    </cfRule>
    <cfRule type="cellIs" dxfId="1941" priority="172" stopIfTrue="1" operator="between">
      <formula>0.5</formula>
      <formula>0.75</formula>
    </cfRule>
    <cfRule type="cellIs" dxfId="1940" priority="173" stopIfTrue="1" operator="greaterThan">
      <formula>0.75</formula>
    </cfRule>
  </conditionalFormatting>
  <conditionalFormatting sqref="C111">
    <cfRule type="cellIs" dxfId="1939" priority="164" stopIfTrue="1" operator="greaterThanOrEqual">
      <formula>0.8</formula>
    </cfRule>
    <cfRule type="cellIs" dxfId="1938" priority="165" stopIfTrue="1" operator="between">
      <formula>0.5</formula>
      <formula>0.799</formula>
    </cfRule>
    <cfRule type="cellIs" dxfId="1937" priority="166" stopIfTrue="1" operator="lessThan">
      <formula>0.5</formula>
    </cfRule>
  </conditionalFormatting>
  <conditionalFormatting sqref="G17">
    <cfRule type="cellIs" dxfId="1936" priority="152" stopIfTrue="1" operator="lessThan">
      <formula>0.5</formula>
    </cfRule>
    <cfRule type="cellIs" dxfId="1935" priority="153" stopIfTrue="1" operator="between">
      <formula>0.5</formula>
      <formula>0.75</formula>
    </cfRule>
    <cfRule type="cellIs" dxfId="1934" priority="154" stopIfTrue="1" operator="greaterThan">
      <formula>0.75</formula>
    </cfRule>
  </conditionalFormatting>
  <conditionalFormatting sqref="G108">
    <cfRule type="cellIs" dxfId="1933" priority="149" stopIfTrue="1" operator="lessThan">
      <formula>0.5</formula>
    </cfRule>
    <cfRule type="cellIs" dxfId="1932" priority="150" stopIfTrue="1" operator="between">
      <formula>0.5</formula>
      <formula>0.75</formula>
    </cfRule>
    <cfRule type="cellIs" dxfId="1931" priority="151" stopIfTrue="1" operator="greaterThan">
      <formula>0.75</formula>
    </cfRule>
  </conditionalFormatting>
  <conditionalFormatting sqref="C78">
    <cfRule type="cellIs" dxfId="1930" priority="112" stopIfTrue="1" operator="greaterThanOrEqual">
      <formula>0.8</formula>
    </cfRule>
    <cfRule type="cellIs" dxfId="1929" priority="113" stopIfTrue="1" operator="between">
      <formula>0.5</formula>
      <formula>0.799</formula>
    </cfRule>
    <cfRule type="cellIs" dxfId="1928" priority="114" stopIfTrue="1" operator="lessThan">
      <formula>0.5</formula>
    </cfRule>
  </conditionalFormatting>
  <conditionalFormatting sqref="C79:C80">
    <cfRule type="cellIs" dxfId="1927" priority="77" stopIfTrue="1" operator="lessThan">
      <formula>0.5</formula>
    </cfRule>
    <cfRule type="cellIs" dxfId="1926" priority="78" stopIfTrue="1" operator="between">
      <formula>0.5</formula>
      <formula>0.75</formula>
    </cfRule>
    <cfRule type="cellIs" dxfId="1925" priority="79" stopIfTrue="1" operator="greaterThan">
      <formula>0.75</formula>
    </cfRule>
  </conditionalFormatting>
  <conditionalFormatting sqref="G118">
    <cfRule type="cellIs" dxfId="1924" priority="66" stopIfTrue="1" operator="lessThan">
      <formula>0.5</formula>
    </cfRule>
    <cfRule type="cellIs" dxfId="1923" priority="67" stopIfTrue="1" operator="between">
      <formula>0.5</formula>
      <formula>0.75</formula>
    </cfRule>
    <cfRule type="cellIs" dxfId="1922" priority="68" stopIfTrue="1" operator="greaterThan">
      <formula>0.75</formula>
    </cfRule>
  </conditionalFormatting>
  <conditionalFormatting sqref="I64">
    <cfRule type="cellIs" dxfId="1921" priority="55" stopIfTrue="1" operator="lessThan">
      <formula>0.5</formula>
    </cfRule>
    <cfRule type="cellIs" dxfId="1920" priority="56" stopIfTrue="1" operator="between">
      <formula>0.5</formula>
      <formula>0.75</formula>
    </cfRule>
    <cfRule type="cellIs" dxfId="1919" priority="57" stopIfTrue="1" operator="greaterThan">
      <formula>0.75</formula>
    </cfRule>
  </conditionalFormatting>
  <conditionalFormatting sqref="I14">
    <cfRule type="containsText" dxfId="1918" priority="58" operator="containsText" text="System Flag">
      <formula>NOT(ISERROR(SEARCH("System Flag",I14)))</formula>
    </cfRule>
  </conditionalFormatting>
  <conditionalFormatting sqref="I64">
    <cfRule type="containsText" dxfId="1917" priority="54" stopIfTrue="1" operator="containsText" text="RED FLAG">
      <formula>NOT(ISERROR(SEARCH("RED FLAG",I64)))</formula>
    </cfRule>
  </conditionalFormatting>
  <conditionalFormatting sqref="I40">
    <cfRule type="cellIs" dxfId="1916" priority="51" stopIfTrue="1" operator="lessThan">
      <formula>0.5</formula>
    </cfRule>
    <cfRule type="cellIs" dxfId="1915" priority="52" stopIfTrue="1" operator="between">
      <formula>0.5</formula>
      <formula>0.75</formula>
    </cfRule>
    <cfRule type="cellIs" dxfId="1914" priority="53" stopIfTrue="1" operator="greaterThan">
      <formula>0.75</formula>
    </cfRule>
  </conditionalFormatting>
  <conditionalFormatting sqref="I40">
    <cfRule type="containsText" dxfId="1913" priority="50" stopIfTrue="1" operator="containsText" text="RED FLAG">
      <formula>NOT(ISERROR(SEARCH("RED FLAG",I40)))</formula>
    </cfRule>
  </conditionalFormatting>
  <conditionalFormatting sqref="G142">
    <cfRule type="cellIs" dxfId="1912" priority="44" stopIfTrue="1" operator="lessThan">
      <formula>0.5</formula>
    </cfRule>
    <cfRule type="cellIs" dxfId="1911" priority="45" stopIfTrue="1" operator="between">
      <formula>0.5</formula>
      <formula>0.75</formula>
    </cfRule>
    <cfRule type="cellIs" dxfId="1910" priority="46" stopIfTrue="1" operator="greaterThan">
      <formula>0.75</formula>
    </cfRule>
  </conditionalFormatting>
  <conditionalFormatting sqref="G135">
    <cfRule type="cellIs" dxfId="1909" priority="29" stopIfTrue="1" operator="lessThan">
      <formula>0.5</formula>
    </cfRule>
    <cfRule type="cellIs" dxfId="1908" priority="30" stopIfTrue="1" operator="between">
      <formula>0.5</formula>
      <formula>0.75</formula>
    </cfRule>
    <cfRule type="cellIs" dxfId="1907" priority="31" stopIfTrue="1" operator="greaterThan">
      <formula>0.75</formula>
    </cfRule>
  </conditionalFormatting>
  <conditionalFormatting sqref="G149">
    <cfRule type="cellIs" dxfId="1906" priority="35" stopIfTrue="1" operator="lessThan">
      <formula>0.5</formula>
    </cfRule>
    <cfRule type="cellIs" dxfId="1905" priority="36" stopIfTrue="1" operator="between">
      <formula>0.5</formula>
      <formula>0.75</formula>
    </cfRule>
    <cfRule type="cellIs" dxfId="1904" priority="37" stopIfTrue="1" operator="greaterThan">
      <formula>0.75</formula>
    </cfRule>
  </conditionalFormatting>
  <conditionalFormatting sqref="G5:G11">
    <cfRule type="cellIs" dxfId="1903" priority="26" stopIfTrue="1" operator="lessThan">
      <formula>0.5</formula>
    </cfRule>
    <cfRule type="cellIs" dxfId="1902" priority="27" stopIfTrue="1" operator="between">
      <formula>0.5</formula>
      <formula>0.75</formula>
    </cfRule>
    <cfRule type="cellIs" dxfId="1901" priority="28" stopIfTrue="1" operator="greaterThan">
      <formula>0.75</formula>
    </cfRule>
  </conditionalFormatting>
  <conditionalFormatting sqref="G5:G11">
    <cfRule type="containsText" dxfId="1900" priority="25" stopIfTrue="1" operator="containsText" text="RED FLAG">
      <formula>NOT(ISERROR(SEARCH("RED FLAG",G5)))</formula>
    </cfRule>
  </conditionalFormatting>
  <conditionalFormatting sqref="G105:G106 G101:G103 G95:G96 G92:G93 G89:G90 G86:G87 G83:G84 G69:G77 G55:G66 G47:G52 G22:G42 G15 G98:G99">
    <cfRule type="cellIs" dxfId="1899" priority="22" stopIfTrue="1" operator="lessThan">
      <formula>0.5</formula>
    </cfRule>
    <cfRule type="cellIs" dxfId="1898" priority="23" stopIfTrue="1" operator="between">
      <formula>0.5</formula>
      <formula>0.75</formula>
    </cfRule>
    <cfRule type="cellIs" dxfId="1897" priority="24" stopIfTrue="1" operator="greaterThan">
      <formula>0.75</formula>
    </cfRule>
  </conditionalFormatting>
  <conditionalFormatting sqref="G105:G106 G101:G103 G95:G96 G92:G93 G89:G90 G86:G87 G83:G84 G69:G77 G55:G66 G47:G52 G22:G42 G15 G98:G99">
    <cfRule type="containsText" dxfId="1896" priority="21" stopIfTrue="1" operator="containsText" text="RED FLAG">
      <formula>NOT(ISERROR(SEARCH("RED FLAG",G15)))</formula>
    </cfRule>
  </conditionalFormatting>
  <conditionalFormatting sqref="G113:G116">
    <cfRule type="cellIs" dxfId="1895" priority="18" stopIfTrue="1" operator="lessThan">
      <formula>0.5</formula>
    </cfRule>
    <cfRule type="cellIs" dxfId="1894" priority="19" stopIfTrue="1" operator="between">
      <formula>0.5</formula>
      <formula>0.75</formula>
    </cfRule>
    <cfRule type="cellIs" dxfId="1893" priority="20" stopIfTrue="1" operator="greaterThan">
      <formula>0.75</formula>
    </cfRule>
  </conditionalFormatting>
  <conditionalFormatting sqref="G113:G116">
    <cfRule type="containsText" dxfId="1892" priority="17" stopIfTrue="1" operator="containsText" text="RED FLAG">
      <formula>NOT(ISERROR(SEARCH("RED FLAG",G113)))</formula>
    </cfRule>
  </conditionalFormatting>
  <conditionalFormatting sqref="G173 G171 G169 G159 G157 G150:G155 G143:G148 G136:G141 G129:G134 G122:G127">
    <cfRule type="cellIs" dxfId="1891" priority="14" stopIfTrue="1" operator="lessThan">
      <formula>0.5</formula>
    </cfRule>
    <cfRule type="cellIs" dxfId="1890" priority="15" stopIfTrue="1" operator="between">
      <formula>0.5</formula>
      <formula>0.75</formula>
    </cfRule>
    <cfRule type="cellIs" dxfId="1889" priority="16" stopIfTrue="1" operator="greaterThan">
      <formula>0.75</formula>
    </cfRule>
  </conditionalFormatting>
  <conditionalFormatting sqref="G173 G171 G169 G159 G157 G150:G155 G143:G148 G136:G141 G129:G134 G122:G127">
    <cfRule type="containsText" dxfId="1888" priority="13" stopIfTrue="1" operator="containsText" text="RED FLAG">
      <formula>NOT(ISERROR(SEARCH("RED FLAG",G122)))</formula>
    </cfRule>
  </conditionalFormatting>
  <conditionalFormatting sqref="G156">
    <cfRule type="cellIs" dxfId="1887" priority="9" stopIfTrue="1" operator="lessThan">
      <formula>0.5</formula>
    </cfRule>
    <cfRule type="cellIs" dxfId="1886" priority="10" stopIfTrue="1" operator="between">
      <formula>0.5</formula>
      <formula>0.75</formula>
    </cfRule>
    <cfRule type="cellIs" dxfId="1885" priority="11" stopIfTrue="1" operator="greaterThan">
      <formula>0.75</formula>
    </cfRule>
  </conditionalFormatting>
  <conditionalFormatting sqref="G160:G168">
    <cfRule type="cellIs" dxfId="1884" priority="5" stopIfTrue="1" operator="lessThan">
      <formula>0.5</formula>
    </cfRule>
    <cfRule type="cellIs" dxfId="1883" priority="6" stopIfTrue="1" operator="between">
      <formula>0.5</formula>
      <formula>0.75</formula>
    </cfRule>
    <cfRule type="cellIs" dxfId="1882" priority="7" stopIfTrue="1" operator="greaterThan">
      <formula>0.75</formula>
    </cfRule>
  </conditionalFormatting>
  <conditionalFormatting sqref="I168">
    <cfRule type="containsText" dxfId="1881" priority="4" operator="containsText" text="System Flag">
      <formula>NOT(ISERROR(SEARCH("System Flag",I168)))</formula>
    </cfRule>
  </conditionalFormatting>
  <conditionalFormatting sqref="I156">
    <cfRule type="containsText" dxfId="1880" priority="3" operator="containsText" text="System Flag">
      <formula>NOT(ISERROR(SEARCH("System Flag",I156)))</formula>
    </cfRule>
  </conditionalFormatting>
  <conditionalFormatting sqref="I17">
    <cfRule type="cellIs" dxfId="1879" priority="2" operator="equal">
      <formula>"System Flag"</formula>
    </cfRule>
  </conditionalFormatting>
  <dataValidations count="5">
    <dataValidation type="list" allowBlank="1" showInputMessage="1" showErrorMessage="1" sqref="C44 C121 C98:C99 C128 C135 C22:C42 C156:C157 C83:C84 C95:C96 C171 C5:C11 C14:C15 C142 C149 C159:C164 C166:C169" xr:uid="{00000000-0002-0000-0500-000000000000}">
      <formula1>"Yes,No"</formula1>
    </dataValidation>
    <dataValidation type="list" allowBlank="1" showInputMessage="1" showErrorMessage="1" sqref="C122:C127 C173 C47:C52 C69:C77 C55:C66 C105:C106 C113:C116 C92:C93 C101:C103 C86:C87 C89:C90 C118 C150:C155 C143:C148 C129:C134 C136:C141 C165" xr:uid="{00000000-0002-0000-0500-000001000000}">
      <formula1>"Yes,No,NA"</formula1>
    </dataValidation>
    <dataValidation type="list" allowBlank="1" showInputMessage="1" showErrorMessage="1" sqref="C17 C108" xr:uid="{00000000-0002-0000-0500-000002000000}">
      <formula1>"1,2,3"</formula1>
    </dataValidation>
    <dataValidation type="list" allowBlank="1" showInputMessage="1" showErrorMessage="1" sqref="C12:C13" xr:uid="{00000000-0002-0000-0500-000003000000}">
      <formula1>"Yes,Partial,No"</formula1>
    </dataValidation>
    <dataValidation type="list" allowBlank="1" showInputMessage="1" showErrorMessage="1" sqref="C117" xr:uid="{00000000-0002-0000-0500-000004000000}">
      <formula1>"1,2,3,4"</formula1>
    </dataValidation>
  </dataValidations>
  <pageMargins left="0.25" right="0.25" top="0.75000000000000011" bottom="0.75000000000000011" header="0.30000000000000004" footer="0.30000000000000004"/>
  <pageSetup paperSize="9" scale="93" fitToHeight="7" orientation="landscape" r:id="rId1"/>
  <headerFooter>
    <oddFooter>&amp;C&amp;A -&amp;P</oddFooter>
    <firstFooter>&amp;C7</firstFooter>
  </headerFooter>
  <rowBreaks count="7" manualBreakCount="7">
    <brk id="19" max="4" man="1"/>
    <brk id="42" max="4" man="1"/>
    <brk id="66" max="4" man="1"/>
    <brk id="94" max="4" man="1"/>
    <brk id="118" max="4" man="1"/>
    <brk id="148" max="4" man="1"/>
    <brk id="168" max="4" man="1"/>
  </rowBreaks>
  <drawing r:id="rId2"/>
  <extLst>
    <ext xmlns:x14="http://schemas.microsoft.com/office/spreadsheetml/2009/9/main" uri="{78C0D931-6437-407d-A8EE-F0AAD7539E65}">
      <x14:conditionalFormattings>
        <x14:conditionalFormatting xmlns:xm="http://schemas.microsoft.com/office/excel/2006/main">
          <x14:cfRule type="containsText" priority="1303" stopIfTrue="1" operator="containsText" text="RED FLAG" id="{80BB7D83-2B20-4171-BCCA-AB54AA03F862}">
            <xm:f>NOT(ISERROR(SEARCH("RED FLAG",'ID QC 6'!#REF!)))</xm:f>
            <x14:dxf>
              <font>
                <color rgb="FF9C0006"/>
              </font>
              <fill>
                <patternFill>
                  <bgColor rgb="FFFFC7CE"/>
                </patternFill>
              </fill>
            </x14:dxf>
          </x14:cfRule>
          <xm:sqref>G78:G82 G91 G85</xm:sqref>
        </x14:conditionalFormatting>
        <x14:conditionalFormatting xmlns:xm="http://schemas.microsoft.com/office/excel/2006/main">
          <x14:cfRule type="containsText" priority="1307" stopIfTrue="1" operator="containsText" text="RED FLAG" id="{B6516C9F-3D7F-4172-A765-8BD455D99E5C}">
            <xm:f>NOT(ISERROR(SEARCH("RED FLAG",'ID QC 6'!#REF!)))</xm:f>
            <x14:dxf>
              <font>
                <color rgb="FF9C0006"/>
              </font>
              <fill>
                <patternFill>
                  <bgColor rgb="FFFFC7CE"/>
                </patternFill>
              </fill>
            </x14:dxf>
          </x14:cfRule>
          <xm:sqref>G111:G112</xm:sqref>
        </x14:conditionalFormatting>
        <x14:conditionalFormatting xmlns:xm="http://schemas.microsoft.com/office/excel/2006/main">
          <x14:cfRule type="containsText" priority="1308" stopIfTrue="1" operator="containsText" text="RED FLAG" id="{80BB7D83-2B20-4171-BCCA-AB54AA03F862}">
            <xm:f>NOT(ISERROR(SEARCH("RED FLAG",'ID QC 6'!#REF!)))</xm:f>
            <x14:dxf>
              <font>
                <color rgb="FF9C0006"/>
              </font>
              <fill>
                <patternFill>
                  <bgColor rgb="FFFFC7CE"/>
                </patternFill>
              </fill>
            </x14:dxf>
          </x14:cfRule>
          <xm:sqref>G117</xm:sqref>
        </x14:conditionalFormatting>
        <x14:conditionalFormatting xmlns:xm="http://schemas.microsoft.com/office/excel/2006/main">
          <x14:cfRule type="containsText" priority="1310" stopIfTrue="1" operator="containsText" text="RED FLAG" id="{B1C575C8-8F06-42D7-977F-6F0D998501BC}">
            <xm:f>NOT(ISERROR(SEARCH("RED FLAG",'ID QC 6'!#REF!)))</xm:f>
            <x14:dxf>
              <font>
                <color rgb="FF9C0006"/>
              </font>
              <fill>
                <patternFill>
                  <bgColor rgb="FFFFC7CE"/>
                </patternFill>
              </fill>
            </x14:dxf>
          </x14:cfRule>
          <xm:sqref>G104 G107:G110</xm:sqref>
        </x14:conditionalFormatting>
        <x14:conditionalFormatting xmlns:xm="http://schemas.microsoft.com/office/excel/2006/main">
          <x14:cfRule type="containsText" priority="1314" stopIfTrue="1" operator="containsText" text="RED FLAG" id="{B1C575C8-8F06-42D7-977F-6F0D998501BC}">
            <xm:f>NOT(ISERROR(SEARCH("RED FLAG",'ID QC 6'!#REF!)))</xm:f>
            <x14:dxf>
              <font>
                <color rgb="FF9C0006"/>
              </font>
              <fill>
                <patternFill>
                  <bgColor rgb="FFFFC7CE"/>
                </patternFill>
              </fill>
            </x14:dxf>
          </x14:cfRule>
          <xm:sqref>G94 G100</xm:sqref>
        </x14:conditionalFormatting>
        <x14:conditionalFormatting xmlns:xm="http://schemas.microsoft.com/office/excel/2006/main">
          <x14:cfRule type="containsText" priority="1317" stopIfTrue="1" operator="containsText" text="RED FLAG" id="{80BB7D83-2B20-4171-BCCA-AB54AA03F862}">
            <xm:f>NOT(ISERROR(SEARCH("RED FLAG",'ID QC 6'!#REF!)))</xm:f>
            <x14:dxf>
              <font>
                <color rgb="FF9C0006"/>
              </font>
              <fill>
                <patternFill>
                  <bgColor rgb="FFFFC7CE"/>
                </patternFill>
              </fill>
            </x14:dxf>
          </x14:cfRule>
          <xm:sqref>G43:G46</xm:sqref>
        </x14:conditionalFormatting>
        <x14:conditionalFormatting xmlns:xm="http://schemas.microsoft.com/office/excel/2006/main">
          <x14:cfRule type="containsText" priority="80" stopIfTrue="1" operator="containsText" text="RED FLAG" id="{46184576-07A6-6446-9665-B80337F1DADD}">
            <xm:f>NOT(ISERROR(SEARCH("RED FLAG",'ID QC 6'!#REF!)))</xm:f>
            <x14:dxf>
              <font>
                <color rgb="FF9C0006"/>
              </font>
              <fill>
                <patternFill>
                  <bgColor rgb="FFFFC7CE"/>
                </patternFill>
              </fill>
            </x14:dxf>
          </x14:cfRule>
          <xm:sqref>C79:C80</xm:sqref>
        </x14:conditionalFormatting>
        <x14:conditionalFormatting xmlns:xm="http://schemas.microsoft.com/office/excel/2006/main">
          <x14:cfRule type="containsText" priority="76" stopIfTrue="1" operator="containsText" text="RED FLAG" id="{CD9D5D25-37E2-446C-98D0-606777B9878F}">
            <xm:f>NOT(ISERROR(SEARCH("RED FLAG",'ID QC 6'!#REF!)))</xm:f>
            <x14:dxf>
              <font>
                <color rgb="FF9C0006"/>
              </font>
              <fill>
                <patternFill>
                  <bgColor rgb="FFFFC7CE"/>
                </patternFill>
              </fill>
            </x14:dxf>
          </x14:cfRule>
          <xm:sqref>G88</xm:sqref>
        </x14:conditionalFormatting>
        <x14:conditionalFormatting xmlns:xm="http://schemas.microsoft.com/office/excel/2006/main">
          <x14:cfRule type="containsText" priority="69" stopIfTrue="1" operator="containsText" text="RED FLAG" id="{6C471814-8830-470A-8D34-88B8B15251C5}">
            <xm:f>NOT(ISERROR(SEARCH("RED FLAG",'ID QC 6'!#REF!)))</xm:f>
            <x14:dxf>
              <font>
                <color rgb="FF9C0006"/>
              </font>
              <fill>
                <patternFill>
                  <bgColor rgb="FFFFC7CE"/>
                </patternFill>
              </fill>
            </x14:dxf>
          </x14:cfRule>
          <xm:sqref>G118</xm:sqref>
        </x14:conditionalFormatting>
        <x14:conditionalFormatting xmlns:xm="http://schemas.microsoft.com/office/excel/2006/main">
          <x14:cfRule type="containsText" priority="12" stopIfTrue="1" operator="containsText" text="RED FLAG" id="{71225955-C49B-4DEE-AFFB-4E1B574ACC26}">
            <xm:f>NOT(ISERROR(SEARCH("RED FLAG",'ID QC 6'!#REF!)))</xm:f>
            <x14:dxf>
              <font>
                <color rgb="FF9C0006"/>
              </font>
              <fill>
                <patternFill>
                  <bgColor rgb="FFFFC7CE"/>
                </patternFill>
              </fill>
            </x14:dxf>
          </x14:cfRule>
          <xm:sqref>G156</xm:sqref>
        </x14:conditionalFormatting>
        <x14:conditionalFormatting xmlns:xm="http://schemas.microsoft.com/office/excel/2006/main">
          <x14:cfRule type="containsText" priority="8" stopIfTrue="1" operator="containsText" text="RED FLAG" id="{02203C20-9524-4F27-AF4E-B6A95EF99234}">
            <xm:f>NOT(ISERROR(SEARCH("RED FLAG",'ID QC 6'!#REF!)))</xm:f>
            <x14:dxf>
              <font>
                <color rgb="FF9C0006"/>
              </font>
              <fill>
                <patternFill>
                  <bgColor rgb="FFFFC7CE"/>
                </patternFill>
              </fill>
            </x14:dxf>
          </x14:cfRule>
          <xm:sqref>G160:G168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70C0"/>
    <pageSetUpPr fitToPage="1"/>
  </sheetPr>
  <dimension ref="A1:M91"/>
  <sheetViews>
    <sheetView zoomScaleNormal="80" zoomScalePageLayoutView="80" workbookViewId="0">
      <selection activeCell="C6" sqref="C6"/>
    </sheetView>
  </sheetViews>
  <sheetFormatPr defaultColWidth="11" defaultRowHeight="15.6"/>
  <cols>
    <col min="1" max="1" width="4.69921875" style="6" customWidth="1"/>
    <col min="2" max="2" width="82.19921875" style="13" customWidth="1"/>
    <col min="3" max="3" width="5.296875" style="15" bestFit="1" customWidth="1"/>
    <col min="4" max="4" width="3.69921875" style="22" customWidth="1"/>
    <col min="5" max="5" width="3.69921875" style="22" hidden="1" customWidth="1"/>
    <col min="6" max="6" width="5.19921875" style="22" hidden="1" customWidth="1"/>
    <col min="7" max="7" width="5.19921875" style="22" customWidth="1"/>
    <col min="8" max="8" width="37.69921875" style="265" customWidth="1"/>
    <col min="9" max="9" width="9.69921875" style="22" customWidth="1"/>
    <col min="10" max="13" width="11" style="201"/>
    <col min="14" max="16384" width="11" style="22"/>
  </cols>
  <sheetData>
    <row r="1" spans="1:13">
      <c r="A1" s="10"/>
      <c r="B1" s="11" t="str">
        <f>Language!A637</f>
        <v>2 - LABORATORY INFORMATION SYSTEM (ELECTRONIC)</v>
      </c>
      <c r="C1" s="52" t="str">
        <f>IF(F6="Yes",AVERAGE(G4:G129),IF(F6="No","NA","???"))</f>
        <v>???</v>
      </c>
      <c r="E1" s="201"/>
      <c r="F1" s="201"/>
      <c r="G1" s="201"/>
      <c r="H1" s="264" t="str">
        <f>'Facility 1'!H1</f>
        <v>Comments</v>
      </c>
      <c r="I1" s="201"/>
    </row>
    <row r="2" spans="1:13" ht="28.8" customHeight="1">
      <c r="A2" s="10"/>
      <c r="B2" s="502" t="str">
        <f>Language!A638</f>
        <v>If the lab does not use an electronic LIS, answer No to question 2.1, then skip to the Data Management tab, #3.</v>
      </c>
      <c r="C2" s="501"/>
      <c r="D2" s="501"/>
      <c r="E2" s="496"/>
      <c r="F2" s="496"/>
      <c r="G2" s="500"/>
      <c r="H2" s="500"/>
      <c r="I2" s="201"/>
    </row>
    <row r="3" spans="1:13" ht="28.8" customHeight="1">
      <c r="A3" s="10"/>
      <c r="B3" s="497" t="str">
        <f>Language!A639</f>
        <v>The scores for this section reflect the usability of the computer-based LIS and its likely compatibility with AMR surveillance systems, not the quality of the laboratory</v>
      </c>
      <c r="C3" s="499"/>
      <c r="D3" s="499"/>
      <c r="E3" s="131"/>
      <c r="F3" s="131"/>
      <c r="G3" s="131"/>
      <c r="H3" s="131"/>
      <c r="I3" s="201"/>
    </row>
    <row r="4" spans="1:13" ht="28.8" customHeight="1" thickBot="1">
      <c r="A4" s="10"/>
      <c r="B4" s="498" t="str">
        <f>Language!A640</f>
        <v>When exporting data from a LIS for data analysis purposes, including AMR surveillance, it is important that each data field is discrete</v>
      </c>
      <c r="C4" s="56"/>
      <c r="D4" s="56"/>
      <c r="E4" s="8"/>
      <c r="F4" s="8"/>
      <c r="G4" s="8"/>
      <c r="H4" s="8"/>
      <c r="I4" s="129"/>
    </row>
    <row r="5" spans="1:13" ht="16.2" thickBot="1">
      <c r="A5" s="166"/>
      <c r="B5" s="76" t="str">
        <f>Language!A641</f>
        <v>DEMOGRAPHIC DATA FIELDS</v>
      </c>
      <c r="C5" s="47" t="str">
        <f>IF(COUNTBLANK(C6:C16)=11,"???",IF(F6="Yes",AVERAGE(G6:G16),"NA"))</f>
        <v>???</v>
      </c>
      <c r="E5" s="129"/>
      <c r="F5" s="129"/>
      <c r="G5" s="129"/>
      <c r="H5" s="432"/>
      <c r="I5" s="129"/>
    </row>
    <row r="6" spans="1:13" s="519" customFormat="1" ht="16.2" thickBot="1">
      <c r="A6" s="10" t="s">
        <v>386</v>
      </c>
      <c r="B6" s="20" t="str">
        <f>Language!A642</f>
        <v>Does the laboratory use a computer-based Laboratory Information System (LIS)?</v>
      </c>
      <c r="C6" s="442"/>
      <c r="F6" s="23">
        <f>C6</f>
        <v>0</v>
      </c>
      <c r="G6" s="18" t="str">
        <f t="shared" ref="G6" si="0">IF(F6="Yes",1,IF(F6="No",0,"'"))</f>
        <v>'</v>
      </c>
      <c r="H6" s="444" t="str">
        <f>Language!A643</f>
        <v>Name of LIS:</v>
      </c>
      <c r="I6" s="18" t="str">
        <f>IF(C6="No","System Flag","'")</f>
        <v>'</v>
      </c>
      <c r="J6" s="516"/>
      <c r="K6" s="201"/>
      <c r="L6" s="201"/>
      <c r="M6" s="201"/>
    </row>
    <row r="7" spans="1:13" s="519" customFormat="1" ht="16.2" customHeight="1" thickBot="1">
      <c r="A7" s="10"/>
      <c r="B7" s="465" t="str">
        <f>Language!A644</f>
        <v>If yes, please record name in comments. PLEASE NOTE: WHONET is not a LIS</v>
      </c>
      <c r="G7" s="18"/>
      <c r="H7" s="544"/>
      <c r="J7" s="516"/>
      <c r="K7" s="201"/>
      <c r="L7" s="201"/>
      <c r="M7" s="201"/>
    </row>
    <row r="8" spans="1:13" ht="15.6" customHeight="1">
      <c r="A8" s="10"/>
      <c r="B8" s="90" t="str">
        <f>Language!A645</f>
        <v>Observe data entry into the LIS. Are individual data fields present for each of the following?</v>
      </c>
      <c r="C8" s="22"/>
      <c r="D8" s="519"/>
      <c r="E8" s="519"/>
      <c r="H8" s="267"/>
      <c r="J8" s="516"/>
    </row>
    <row r="9" spans="1:13">
      <c r="A9" s="10" t="s">
        <v>387</v>
      </c>
      <c r="B9" s="17" t="str">
        <f>Language!A646</f>
        <v>Patient Last Name/Surname</v>
      </c>
      <c r="C9" s="442"/>
      <c r="F9" s="23">
        <f t="shared" ref="F9:F16" si="1">C9</f>
        <v>0</v>
      </c>
      <c r="G9" s="18" t="str">
        <f t="shared" ref="G9:G15" si="2">IF(F9="Yes",1,IF(F9="No",0,"'"))</f>
        <v>'</v>
      </c>
      <c r="H9" s="430"/>
      <c r="J9" s="516"/>
    </row>
    <row r="10" spans="1:13">
      <c r="A10" s="10" t="s">
        <v>388</v>
      </c>
      <c r="B10" s="17" t="str">
        <f>Language!A647</f>
        <v>Patient First Name</v>
      </c>
      <c r="C10" s="442"/>
      <c r="F10" s="23">
        <f t="shared" si="1"/>
        <v>0</v>
      </c>
      <c r="G10" s="18" t="str">
        <f t="shared" si="2"/>
        <v>'</v>
      </c>
      <c r="H10" s="430"/>
      <c r="J10" s="516"/>
    </row>
    <row r="11" spans="1:13">
      <c r="A11" s="10" t="s">
        <v>389</v>
      </c>
      <c r="B11" s="37" t="str">
        <f>Language!A648</f>
        <v>Patient Identification Number</v>
      </c>
      <c r="C11" s="442"/>
      <c r="F11" s="23">
        <f t="shared" si="1"/>
        <v>0</v>
      </c>
      <c r="G11" s="18" t="str">
        <f t="shared" si="2"/>
        <v>'</v>
      </c>
      <c r="H11" s="430"/>
      <c r="I11" s="20"/>
      <c r="J11" s="516"/>
    </row>
    <row r="12" spans="1:13">
      <c r="A12" s="10" t="s">
        <v>390</v>
      </c>
      <c r="B12" s="37" t="str">
        <f>Language!A649</f>
        <v>Patient Date of Birth</v>
      </c>
      <c r="C12" s="442"/>
      <c r="F12" s="23">
        <f t="shared" si="1"/>
        <v>0</v>
      </c>
      <c r="G12" s="18" t="str">
        <f t="shared" si="2"/>
        <v>'</v>
      </c>
      <c r="H12" s="430"/>
      <c r="I12" s="20"/>
      <c r="J12" s="516"/>
    </row>
    <row r="13" spans="1:13">
      <c r="A13" s="10" t="s">
        <v>391</v>
      </c>
      <c r="B13" s="37" t="str">
        <f>Language!A650</f>
        <v>Patient Age</v>
      </c>
      <c r="C13" s="442"/>
      <c r="F13" s="23">
        <f t="shared" si="1"/>
        <v>0</v>
      </c>
      <c r="G13" s="18" t="str">
        <f t="shared" si="2"/>
        <v>'</v>
      </c>
      <c r="H13" s="430"/>
      <c r="I13" s="20"/>
      <c r="J13" s="516"/>
    </row>
    <row r="14" spans="1:13">
      <c r="A14" s="10" t="s">
        <v>1064</v>
      </c>
      <c r="B14" s="37" t="str">
        <f>Language!A651</f>
        <v>Patient Gender</v>
      </c>
      <c r="C14" s="442"/>
      <c r="F14" s="23">
        <f t="shared" si="1"/>
        <v>0</v>
      </c>
      <c r="G14" s="18" t="str">
        <f t="shared" si="2"/>
        <v>'</v>
      </c>
      <c r="H14" s="430"/>
      <c r="I14" s="20"/>
      <c r="J14" s="516"/>
    </row>
    <row r="15" spans="1:13">
      <c r="A15" s="10" t="s">
        <v>1065</v>
      </c>
      <c r="B15" s="37" t="str">
        <f>Language!A652</f>
        <v>Patient Location (Ward or Unit at the time of specimen collection, e.g., "ICU")</v>
      </c>
      <c r="C15" s="442"/>
      <c r="F15" s="23">
        <f t="shared" si="1"/>
        <v>0</v>
      </c>
      <c r="G15" s="18" t="str">
        <f t="shared" si="2"/>
        <v>'</v>
      </c>
      <c r="H15" s="430"/>
      <c r="I15" s="20"/>
      <c r="J15" s="516"/>
    </row>
    <row r="16" spans="1:13">
      <c r="A16" s="10" t="s">
        <v>392</v>
      </c>
      <c r="B16" s="413" t="str">
        <f>Language!A653</f>
        <v>Patient Date of Admission</v>
      </c>
      <c r="C16" s="442"/>
      <c r="F16" s="23">
        <f t="shared" si="1"/>
        <v>0</v>
      </c>
      <c r="G16" s="18" t="str">
        <f>IF(F16="Yes",1,"'")</f>
        <v>'</v>
      </c>
      <c r="H16" s="430"/>
      <c r="I16" s="20"/>
      <c r="J16" s="516"/>
    </row>
    <row r="17" spans="1:13" ht="16.2" thickBot="1">
      <c r="A17" s="16"/>
      <c r="B17" s="471"/>
      <c r="C17" s="235"/>
      <c r="D17" s="514"/>
      <c r="E17" s="201"/>
      <c r="F17" s="201"/>
      <c r="G17" s="201"/>
      <c r="H17" s="471"/>
      <c r="L17" s="22"/>
      <c r="M17" s="22"/>
    </row>
    <row r="18" spans="1:13" ht="16.2" thickBot="1">
      <c r="A18" s="166"/>
      <c r="B18" s="76" t="str">
        <f>Language!A654</f>
        <v>SPECIMEN DATA FIELDS</v>
      </c>
      <c r="C18" s="47" t="str">
        <f>IF(F6="No","NA",IF(COUNTBLANK(C20:C27)=8,"???",IF(COUNT(G20:G27)=0,"NA",AVERAGE(G20:G27))))</f>
        <v>???</v>
      </c>
      <c r="E18" s="20"/>
      <c r="F18" s="20"/>
      <c r="G18" s="20"/>
      <c r="H18" s="432"/>
      <c r="I18" s="20"/>
      <c r="J18" s="516"/>
    </row>
    <row r="19" spans="1:13">
      <c r="A19" s="10"/>
      <c r="B19" s="90" t="str">
        <f>Language!A655</f>
        <v>Observe data entry into the LIS. Are individual data fields present for each of the following?</v>
      </c>
      <c r="C19" s="22"/>
      <c r="D19" s="519"/>
      <c r="J19" s="516"/>
    </row>
    <row r="20" spans="1:13">
      <c r="A20" s="10" t="s">
        <v>393</v>
      </c>
      <c r="B20" s="37" t="str">
        <f>Language!A656</f>
        <v>Specimen identification number</v>
      </c>
      <c r="C20" s="442"/>
      <c r="F20" s="23">
        <f t="shared" ref="F20:F27" si="3">C20</f>
        <v>0</v>
      </c>
      <c r="G20" s="18" t="str">
        <f t="shared" ref="G20:G27" si="4">IF(F20="Yes",1,IF(F20="No",0,"'"))</f>
        <v>'</v>
      </c>
      <c r="H20" s="429"/>
      <c r="I20" s="20"/>
      <c r="J20" s="516"/>
    </row>
    <row r="21" spans="1:13">
      <c r="A21" s="10" t="s">
        <v>394</v>
      </c>
      <c r="B21" s="37" t="str">
        <f>Language!A657</f>
        <v>Specimen Type (e.g. Wound)</v>
      </c>
      <c r="C21" s="442"/>
      <c r="F21" s="23">
        <f t="shared" si="3"/>
        <v>0</v>
      </c>
      <c r="G21" s="18" t="str">
        <f t="shared" si="4"/>
        <v>'</v>
      </c>
      <c r="H21" s="429"/>
      <c r="I21" s="90"/>
      <c r="J21" s="516"/>
    </row>
    <row r="22" spans="1:13">
      <c r="A22" s="10" t="s">
        <v>395</v>
      </c>
      <c r="B22" s="37" t="str">
        <f>Language!A658</f>
        <v>Specimen Source/Body Site (e.g., Arm)</v>
      </c>
      <c r="C22" s="442"/>
      <c r="F22" s="23">
        <f t="shared" si="3"/>
        <v>0</v>
      </c>
      <c r="G22" s="18" t="str">
        <f t="shared" si="4"/>
        <v>'</v>
      </c>
      <c r="H22" s="429"/>
      <c r="I22" s="90"/>
      <c r="J22" s="516"/>
    </row>
    <row r="23" spans="1:13">
      <c r="A23" s="10" t="s">
        <v>396</v>
      </c>
      <c r="B23" s="37" t="str">
        <f>Language!A659</f>
        <v>Additional descriptors (e.g., Left, Right)</v>
      </c>
      <c r="C23" s="442"/>
      <c r="F23" s="23">
        <f t="shared" si="3"/>
        <v>0</v>
      </c>
      <c r="G23" s="18" t="str">
        <f t="shared" si="4"/>
        <v>'</v>
      </c>
      <c r="H23" s="429"/>
      <c r="I23" s="90"/>
      <c r="J23" s="516"/>
    </row>
    <row r="24" spans="1:13">
      <c r="A24" s="10" t="s">
        <v>397</v>
      </c>
      <c r="B24" s="37" t="str">
        <f>Language!A660</f>
        <v>Date of specimen collection</v>
      </c>
      <c r="C24" s="442"/>
      <c r="F24" s="23">
        <f t="shared" si="3"/>
        <v>0</v>
      </c>
      <c r="G24" s="18" t="str">
        <f t="shared" si="4"/>
        <v>'</v>
      </c>
      <c r="H24" s="429"/>
      <c r="I24" s="20"/>
      <c r="J24" s="516"/>
    </row>
    <row r="25" spans="1:13">
      <c r="A25" s="10" t="s">
        <v>398</v>
      </c>
      <c r="B25" s="37" t="str">
        <f>Language!A661</f>
        <v>Time of specimen collection</v>
      </c>
      <c r="C25" s="442"/>
      <c r="F25" s="23">
        <f t="shared" si="3"/>
        <v>0</v>
      </c>
      <c r="G25" s="18" t="str">
        <f t="shared" si="4"/>
        <v>'</v>
      </c>
      <c r="H25" s="429"/>
      <c r="J25" s="516"/>
    </row>
    <row r="26" spans="1:13">
      <c r="A26" s="10" t="s">
        <v>399</v>
      </c>
      <c r="B26" s="37" t="str">
        <f>Language!A662</f>
        <v>Date of specimen receipt</v>
      </c>
      <c r="C26" s="442"/>
      <c r="F26" s="23">
        <f t="shared" si="3"/>
        <v>0</v>
      </c>
      <c r="G26" s="18" t="str">
        <f t="shared" si="4"/>
        <v>'</v>
      </c>
      <c r="H26" s="429"/>
      <c r="I26" s="20"/>
      <c r="J26" s="516"/>
    </row>
    <row r="27" spans="1:13">
      <c r="A27" s="10" t="s">
        <v>400</v>
      </c>
      <c r="B27" s="37" t="str">
        <f>Language!A663</f>
        <v>Time of specimen receipt</v>
      </c>
      <c r="C27" s="442"/>
      <c r="F27" s="23">
        <f t="shared" si="3"/>
        <v>0</v>
      </c>
      <c r="G27" s="18" t="str">
        <f t="shared" si="4"/>
        <v>'</v>
      </c>
      <c r="H27" s="429"/>
      <c r="I27" s="20"/>
      <c r="J27" s="516"/>
    </row>
    <row r="28" spans="1:13" ht="16.2" thickBot="1">
      <c r="A28" s="10"/>
      <c r="B28" s="20"/>
      <c r="C28" s="20"/>
      <c r="D28" s="20"/>
      <c r="E28" s="23"/>
      <c r="F28" s="23"/>
      <c r="G28" s="18"/>
      <c r="H28" s="271"/>
      <c r="I28" s="20"/>
      <c r="J28" s="516"/>
    </row>
    <row r="29" spans="1:13" ht="16.2" thickBot="1">
      <c r="A29" s="166"/>
      <c r="B29" s="14" t="str">
        <f>Language!A664</f>
        <v>CULTURE OBSERVATION DATA FIELDS</v>
      </c>
      <c r="C29" s="47" t="str">
        <f>IF(F6="No","NA",IF(COUNTBLANK(C31:C41)=11,"???",IF(COUNT(G31:G41)=0,"NA",AVERAGE(G31:G41))))</f>
        <v>???</v>
      </c>
      <c r="H29" s="432"/>
      <c r="J29" s="516"/>
    </row>
    <row r="30" spans="1:13">
      <c r="A30" s="10"/>
      <c r="B30" s="90" t="str">
        <f>Language!A665</f>
        <v>Observe culture data entry into the LIS. Are individual data fields present for each of the following?</v>
      </c>
      <c r="C30" s="22"/>
      <c r="H30" s="267"/>
      <c r="J30" s="516"/>
    </row>
    <row r="31" spans="1:13">
      <c r="A31" s="10"/>
      <c r="B31" s="37" t="str">
        <f>Language!A666</f>
        <v>Gram stain of specimen (e.g., sputum Gram stain)</v>
      </c>
      <c r="C31" s="22"/>
      <c r="J31" s="516"/>
    </row>
    <row r="32" spans="1:13">
      <c r="A32" s="120" t="s">
        <v>401</v>
      </c>
      <c r="B32" s="35" t="str">
        <f>Language!A667</f>
        <v>Quantity of Epithelial Cells per low power field</v>
      </c>
      <c r="C32" s="442"/>
      <c r="F32" s="23">
        <f t="shared" ref="F32:F41" si="5">C32</f>
        <v>0</v>
      </c>
      <c r="G32" s="18" t="str">
        <f t="shared" ref="G32:G41" si="6">IF(F32="Yes",1,IF(F32="No",0,"'"))</f>
        <v>'</v>
      </c>
      <c r="H32" s="430"/>
      <c r="J32" s="516"/>
    </row>
    <row r="33" spans="1:10">
      <c r="A33" s="120" t="s">
        <v>402</v>
      </c>
      <c r="B33" s="35" t="str">
        <f>Language!A668</f>
        <v>Quantity of PMNs (WBCs) per low power field</v>
      </c>
      <c r="C33" s="442"/>
      <c r="F33" s="23">
        <f t="shared" si="5"/>
        <v>0</v>
      </c>
      <c r="G33" s="18" t="str">
        <f t="shared" si="6"/>
        <v>'</v>
      </c>
      <c r="H33" s="430"/>
      <c r="J33" s="516"/>
    </row>
    <row r="34" spans="1:10">
      <c r="A34" s="120" t="s">
        <v>403</v>
      </c>
      <c r="B34" s="35" t="str">
        <f>Language!A669</f>
        <v>Quantity of bacterial cells per high power field</v>
      </c>
      <c r="C34" s="442"/>
      <c r="F34" s="23">
        <f t="shared" si="5"/>
        <v>0</v>
      </c>
      <c r="G34" s="18" t="str">
        <f t="shared" si="6"/>
        <v>'</v>
      </c>
      <c r="H34" s="430"/>
      <c r="J34" s="516"/>
    </row>
    <row r="35" spans="1:10">
      <c r="A35" s="120" t="s">
        <v>780</v>
      </c>
      <c r="B35" s="35" t="str">
        <f>Language!A670</f>
        <v>Type of bacterial cells (gram-positive cocci, gram-negative bacilli, etc.)</v>
      </c>
      <c r="C35" s="442"/>
      <c r="F35" s="23">
        <f t="shared" si="5"/>
        <v>0</v>
      </c>
      <c r="G35" s="18" t="str">
        <f t="shared" si="6"/>
        <v>'</v>
      </c>
      <c r="H35" s="430"/>
      <c r="J35" s="516"/>
    </row>
    <row r="36" spans="1:10" ht="27.6" customHeight="1">
      <c r="A36" s="120" t="s">
        <v>404</v>
      </c>
      <c r="B36" s="35" t="str">
        <f>Language!A671</f>
        <v>Description of colony morphologies (e.g. "mucoid lactose-fermenter" or "beta-hemolytic")</v>
      </c>
      <c r="C36" s="442"/>
      <c r="F36" s="23">
        <f t="shared" si="5"/>
        <v>0</v>
      </c>
      <c r="G36" s="18" t="str">
        <f t="shared" si="6"/>
        <v>'</v>
      </c>
      <c r="H36" s="430"/>
      <c r="J36" s="516"/>
    </row>
    <row r="37" spans="1:10" ht="27.6" customHeight="1">
      <c r="A37" s="120" t="s">
        <v>405</v>
      </c>
      <c r="B37" s="37" t="str">
        <f>Language!A672</f>
        <v>Description of colony quantities (e.g. "1+, 2+, 3+, 4+" or "few, moderate, many")</v>
      </c>
      <c r="C37" s="442"/>
      <c r="F37" s="23">
        <f t="shared" si="5"/>
        <v>0</v>
      </c>
      <c r="G37" s="18" t="str">
        <f t="shared" si="6"/>
        <v>'</v>
      </c>
      <c r="H37" s="430"/>
      <c r="J37" s="516"/>
    </row>
    <row r="38" spans="1:10">
      <c r="A38" s="120" t="s">
        <v>406</v>
      </c>
      <c r="B38" s="17" t="str">
        <f>Language!A673</f>
        <v>Gram stain of bacterial colony</v>
      </c>
      <c r="C38" s="442"/>
      <c r="F38" s="23">
        <f t="shared" si="5"/>
        <v>0</v>
      </c>
      <c r="G38" s="18" t="str">
        <f t="shared" si="6"/>
        <v>'</v>
      </c>
      <c r="H38" s="430"/>
      <c r="J38" s="516"/>
    </row>
    <row r="39" spans="1:10">
      <c r="A39" s="120" t="s">
        <v>407</v>
      </c>
      <c r="B39" s="37" t="str">
        <f>Language!A674</f>
        <v>Biochemical test results (e.g., "catalase positive") for conventional test methods</v>
      </c>
      <c r="C39" s="442"/>
      <c r="F39" s="23">
        <f t="shared" si="5"/>
        <v>0</v>
      </c>
      <c r="G39" s="18" t="str">
        <f t="shared" si="6"/>
        <v>'</v>
      </c>
      <c r="H39" s="430"/>
      <c r="J39" s="516"/>
    </row>
    <row r="40" spans="1:10">
      <c r="A40" s="120" t="s">
        <v>408</v>
      </c>
      <c r="B40" s="37" t="str">
        <f>Language!A675</f>
        <v>Organism name</v>
      </c>
      <c r="C40" s="442"/>
      <c r="F40" s="23">
        <f t="shared" si="5"/>
        <v>0</v>
      </c>
      <c r="G40" s="18" t="str">
        <f t="shared" si="6"/>
        <v>'</v>
      </c>
      <c r="H40" s="430"/>
      <c r="J40" s="516"/>
    </row>
    <row r="41" spans="1:10" ht="27.6" customHeight="1">
      <c r="A41" s="120" t="s">
        <v>409</v>
      </c>
      <c r="B41" s="37" t="str">
        <f>Language!A676</f>
        <v>Isolate number (e.g., when more than one pathogen is encountered in a culture: isolate #1, isolate #2)</v>
      </c>
      <c r="C41" s="442"/>
      <c r="F41" s="23">
        <f t="shared" si="5"/>
        <v>0</v>
      </c>
      <c r="G41" s="18" t="str">
        <f t="shared" si="6"/>
        <v>'</v>
      </c>
      <c r="H41" s="430"/>
      <c r="J41" s="516"/>
    </row>
    <row r="42" spans="1:10" ht="16.2" thickBot="1">
      <c r="A42" s="10"/>
      <c r="B42" s="20"/>
      <c r="C42" s="20"/>
      <c r="D42" s="20"/>
      <c r="E42" s="20"/>
      <c r="F42" s="20"/>
      <c r="G42" s="20"/>
      <c r="J42" s="516"/>
    </row>
    <row r="43" spans="1:10" ht="16.2" thickBot="1">
      <c r="A43" s="166"/>
      <c r="B43" s="76" t="str">
        <f>Language!A677</f>
        <v>AST DATA FIELDS</v>
      </c>
      <c r="C43" s="47" t="str">
        <f>IF(F6="No","NA",IF(COUNTBLANK(C44:C55)=12,"???",IF(COUNT(G44:G55)=0,"NA",AVERAGE(G44:G55))))</f>
        <v>???</v>
      </c>
      <c r="E43" s="20"/>
      <c r="F43" s="20"/>
      <c r="G43" s="20"/>
      <c r="H43" s="432"/>
      <c r="I43" s="20"/>
      <c r="J43" s="516"/>
    </row>
    <row r="44" spans="1:10" ht="27.6" customHeight="1">
      <c r="A44" s="77" t="s">
        <v>410</v>
      </c>
      <c r="B44" s="20" t="str">
        <f>Language!A678</f>
        <v>Can the LIS record the AST method used to obtain each individual antibiotic result (e.g., Etest vs. Vitek vs. disk)?</v>
      </c>
      <c r="C44" s="442"/>
      <c r="F44" s="23">
        <f>C44</f>
        <v>0</v>
      </c>
      <c r="G44" s="18" t="str">
        <f t="shared" ref="G44" si="7">IF(F44="Yes",1,IF(F44="No",0,"'"))</f>
        <v>'</v>
      </c>
      <c r="H44" s="429"/>
      <c r="J44" s="516"/>
    </row>
    <row r="45" spans="1:10" ht="27.6" customHeight="1">
      <c r="A45" s="77"/>
      <c r="B45" s="20" t="str">
        <f>Language!A679</f>
        <v>Observe data entry into the LIS. Are individual data fields present for each of the following?</v>
      </c>
      <c r="C45" s="22"/>
      <c r="J45" s="516"/>
    </row>
    <row r="46" spans="1:10">
      <c r="A46" s="77" t="s">
        <v>411</v>
      </c>
      <c r="B46" s="37" t="str">
        <f>Language!A680</f>
        <v>Disk diffusion zone sizes</v>
      </c>
      <c r="C46" s="543"/>
      <c r="F46" s="23">
        <f t="shared" ref="F46:F55" si="8">C46</f>
        <v>0</v>
      </c>
      <c r="G46" s="18" t="str">
        <f t="shared" ref="G46:G51" si="9">IF(F46="Yes",1,IF(F46="No",0,"'"))</f>
        <v>'</v>
      </c>
      <c r="H46" s="429"/>
      <c r="J46" s="516"/>
    </row>
    <row r="47" spans="1:10">
      <c r="A47" s="77" t="s">
        <v>412</v>
      </c>
      <c r="B47" s="37" t="str">
        <f>Language!A681</f>
        <v>Disk diffusion interpretation (S/I/R)</v>
      </c>
      <c r="C47" s="442"/>
      <c r="F47" s="23">
        <f t="shared" si="8"/>
        <v>0</v>
      </c>
      <c r="G47" s="18" t="str">
        <f t="shared" si="9"/>
        <v>'</v>
      </c>
      <c r="H47" s="430"/>
      <c r="J47" s="516"/>
    </row>
    <row r="48" spans="1:10">
      <c r="A48" s="77" t="s">
        <v>413</v>
      </c>
      <c r="B48" s="37" t="str">
        <f>Language!A682</f>
        <v>MIC values</v>
      </c>
      <c r="C48" s="442"/>
      <c r="F48" s="23">
        <f t="shared" si="8"/>
        <v>0</v>
      </c>
      <c r="G48" s="18" t="str">
        <f t="shared" si="9"/>
        <v>'</v>
      </c>
      <c r="H48" s="429"/>
      <c r="J48" s="516"/>
    </row>
    <row r="49" spans="1:13">
      <c r="A49" s="77" t="s">
        <v>414</v>
      </c>
      <c r="B49" s="37" t="str">
        <f>Language!A683</f>
        <v>MIC interpretation (S/I/R)</v>
      </c>
      <c r="C49" s="442"/>
      <c r="F49" s="23">
        <f t="shared" si="8"/>
        <v>0</v>
      </c>
      <c r="G49" s="18" t="str">
        <f t="shared" si="9"/>
        <v>'</v>
      </c>
      <c r="H49" s="430"/>
      <c r="J49" s="516"/>
    </row>
    <row r="50" spans="1:13">
      <c r="A50" s="77" t="s">
        <v>415</v>
      </c>
      <c r="B50" s="20" t="str">
        <f>Language!A684</f>
        <v>Can the LIS record MIC values to three decimal places (e.g., 0.016)?</v>
      </c>
      <c r="C50" s="442"/>
      <c r="F50" s="23">
        <f t="shared" si="8"/>
        <v>0</v>
      </c>
      <c r="G50" s="18" t="str">
        <f t="shared" si="9"/>
        <v>'</v>
      </c>
      <c r="H50" s="429"/>
      <c r="J50" s="516"/>
    </row>
    <row r="51" spans="1:13" ht="27.6">
      <c r="A51" s="77" t="s">
        <v>416</v>
      </c>
      <c r="B51" s="20" t="str">
        <f>Language!A685</f>
        <v xml:space="preserve">Can the LIS suppress (hide) an individual antibiotic result from the patient report without deleting it from the database (for cascade reporting)? </v>
      </c>
      <c r="C51" s="442"/>
      <c r="F51" s="23">
        <f t="shared" si="8"/>
        <v>0</v>
      </c>
      <c r="G51" s="18" t="str">
        <f t="shared" si="9"/>
        <v>'</v>
      </c>
      <c r="H51" s="429"/>
      <c r="J51" s="516"/>
    </row>
    <row r="52" spans="1:13" s="513" customFormat="1" ht="27.6" customHeight="1">
      <c r="A52" s="150" t="s">
        <v>417</v>
      </c>
      <c r="B52" s="129" t="str">
        <f>Language!A686</f>
        <v>Does the LIS software automatically interpret zone sizes into Susceptible, Intermediate, Resistant?</v>
      </c>
      <c r="C52" s="445"/>
      <c r="D52" s="201"/>
      <c r="E52" s="201"/>
      <c r="F52" s="23">
        <f t="shared" si="8"/>
        <v>0</v>
      </c>
      <c r="G52" s="18"/>
      <c r="H52" s="429"/>
      <c r="I52" s="516"/>
      <c r="J52" s="516"/>
      <c r="K52" s="201"/>
      <c r="L52" s="201"/>
      <c r="M52" s="201"/>
    </row>
    <row r="53" spans="1:13" s="513" customFormat="1">
      <c r="A53" s="150" t="s">
        <v>418</v>
      </c>
      <c r="B53" s="129" t="str">
        <f>Language!A687</f>
        <v>Does the LIS software automatically interpret MICs into Susceptible, Intermediate, Resistant?</v>
      </c>
      <c r="C53" s="445"/>
      <c r="D53" s="201"/>
      <c r="E53" s="201"/>
      <c r="F53" s="23">
        <f t="shared" si="8"/>
        <v>0</v>
      </c>
      <c r="G53" s="18"/>
      <c r="H53" s="429"/>
      <c r="I53" s="516"/>
      <c r="J53" s="516"/>
      <c r="K53" s="201"/>
      <c r="L53" s="201"/>
      <c r="M53" s="201"/>
    </row>
    <row r="54" spans="1:13" s="513" customFormat="1" ht="27.6" customHeight="1">
      <c r="A54" s="150" t="s">
        <v>419</v>
      </c>
      <c r="B54" s="129" t="str">
        <f>Language!A688</f>
        <v>If the LIS software automatically interprets zone sizes or MICs, are the breakpoints updated annually?</v>
      </c>
      <c r="C54" s="445"/>
      <c r="D54" s="201"/>
      <c r="E54" s="201"/>
      <c r="F54" s="23">
        <f t="shared" si="8"/>
        <v>0</v>
      </c>
      <c r="G54" s="18" t="str">
        <f t="shared" ref="G54" si="10">IF(F54="Yes",1,IF(F54="No",0,"'"))</f>
        <v>'</v>
      </c>
      <c r="H54" s="429"/>
      <c r="I54" s="15" t="str">
        <f>IF(F54="No","Red Flag","'")</f>
        <v>'</v>
      </c>
      <c r="J54" s="516"/>
      <c r="K54" s="201"/>
      <c r="L54" s="201"/>
      <c r="M54" s="201"/>
    </row>
    <row r="55" spans="1:13" s="513" customFormat="1" ht="27.6" customHeight="1">
      <c r="A55" s="150" t="s">
        <v>420</v>
      </c>
      <c r="B55" s="129" t="str">
        <f>Language!A689</f>
        <v xml:space="preserve">If the LIS software automatically interprets zone sizes or MICs, are the breakpoints up to date today? </v>
      </c>
      <c r="C55" s="445"/>
      <c r="D55" s="201"/>
      <c r="E55" s="201"/>
      <c r="F55" s="23">
        <f t="shared" si="8"/>
        <v>0</v>
      </c>
      <c r="G55" s="18" t="str">
        <f>IF(F55="Yes",1,IF(F55="No",0,IF(F55="Don't Know",0,"'")))</f>
        <v>'</v>
      </c>
      <c r="H55" s="429"/>
      <c r="I55" s="15" t="str">
        <f>IF(F55="No","Red Flag",IF(F55="Don't know","Red Flag","'"))</f>
        <v>'</v>
      </c>
      <c r="J55" s="516"/>
      <c r="K55" s="201"/>
      <c r="L55" s="201"/>
      <c r="M55" s="201"/>
    </row>
    <row r="56" spans="1:13" ht="16.2" thickBot="1">
      <c r="A56" s="10"/>
      <c r="B56" s="20"/>
      <c r="D56" s="15"/>
      <c r="E56" s="15"/>
      <c r="F56" s="15"/>
      <c r="G56" s="15"/>
      <c r="H56" s="266"/>
      <c r="J56" s="516"/>
    </row>
    <row r="57" spans="1:13" ht="16.2" thickBot="1">
      <c r="A57" s="166"/>
      <c r="B57" s="76" t="str">
        <f>Language!A690</f>
        <v>REPORTS AND DATA TRANSFER CAPABILITIES</v>
      </c>
      <c r="C57" s="47" t="str">
        <f>IF(F6="No","NA",IF(COUNTBLANK(C59:C63)=5,"???",IF(COUNT(G59:G63)=0,"NA",AVERAGE(G59:G63))))</f>
        <v>???</v>
      </c>
      <c r="E57" s="20"/>
      <c r="F57" s="20"/>
      <c r="G57" s="20"/>
      <c r="H57" s="432"/>
      <c r="I57" s="20"/>
      <c r="J57" s="516"/>
    </row>
    <row r="58" spans="1:13" ht="27.6" customHeight="1">
      <c r="A58" s="10"/>
      <c r="B58" s="88" t="str">
        <f>Language!A691</f>
        <v>(An “interface” is an electronic connection that allows information to flow automatically between different computer systems and software applications)</v>
      </c>
      <c r="C58" s="20"/>
      <c r="D58" s="20"/>
      <c r="E58" s="20"/>
      <c r="F58" s="20"/>
      <c r="G58" s="20"/>
      <c r="I58" s="20"/>
      <c r="J58" s="516"/>
    </row>
    <row r="59" spans="1:13" ht="27.6" customHeight="1">
      <c r="A59" s="120" t="s">
        <v>1066</v>
      </c>
      <c r="B59" s="20" t="str">
        <f>Language!A692</f>
        <v>Can the LIS de-duplicate data based on select criteria (e.g., patient ID, organism, specimen date)?</v>
      </c>
      <c r="C59" s="442"/>
      <c r="F59" s="23">
        <f>C59</f>
        <v>0</v>
      </c>
      <c r="G59" s="18" t="str">
        <f t="shared" ref="G59:G63" si="11">IF(F59="Yes",1,IF(F59="No",0,"'"))</f>
        <v>'</v>
      </c>
      <c r="H59" s="429"/>
      <c r="J59" s="516"/>
    </row>
    <row r="60" spans="1:13">
      <c r="A60" s="120" t="s">
        <v>2240</v>
      </c>
      <c r="B60" s="20" t="str">
        <f>Language!A693</f>
        <v>Can the LIS produce a cumulative antibiogram report?</v>
      </c>
      <c r="C60" s="442"/>
      <c r="F60" s="23">
        <f>C60</f>
        <v>0</v>
      </c>
      <c r="G60" s="18" t="str">
        <f t="shared" si="11"/>
        <v>'</v>
      </c>
      <c r="H60" s="429"/>
      <c r="J60" s="516"/>
    </row>
    <row r="61" spans="1:13">
      <c r="A61" s="120" t="s">
        <v>2241</v>
      </c>
      <c r="B61" s="20" t="str">
        <f>Language!A694</f>
        <v>Can the LIS interface with automated AST instruments (e.g., Vitek, Phoenix, SIRScan, BIOMIC)?</v>
      </c>
      <c r="C61" s="442"/>
      <c r="F61" s="23">
        <f>C61</f>
        <v>0</v>
      </c>
      <c r="G61" s="18" t="str">
        <f t="shared" si="11"/>
        <v>'</v>
      </c>
      <c r="H61" s="429"/>
      <c r="J61" s="516"/>
    </row>
    <row r="62" spans="1:13">
      <c r="A62" s="120" t="s">
        <v>2242</v>
      </c>
      <c r="B62" s="20" t="str">
        <f>Language!A695</f>
        <v>Can the LIS interface with the Hospital Information System (HIS)?</v>
      </c>
      <c r="C62" s="442"/>
      <c r="F62" s="23">
        <f>C62</f>
        <v>0</v>
      </c>
      <c r="G62" s="18" t="str">
        <f t="shared" si="11"/>
        <v>'</v>
      </c>
      <c r="H62" s="429"/>
      <c r="J62" s="516"/>
    </row>
    <row r="63" spans="1:13">
      <c r="A63" s="120" t="s">
        <v>2243</v>
      </c>
      <c r="B63" s="20" t="str">
        <f>Language!A696</f>
        <v>Can the LIS export line lists of data to .txt or .csv files?</v>
      </c>
      <c r="C63" s="442"/>
      <c r="F63" s="23">
        <f>C63</f>
        <v>0</v>
      </c>
      <c r="G63" s="18" t="str">
        <f t="shared" si="11"/>
        <v>'</v>
      </c>
      <c r="H63" s="430"/>
      <c r="J63" s="516"/>
    </row>
    <row r="64" spans="1:13" ht="16.2" thickBot="1">
      <c r="A64" s="10"/>
      <c r="B64" s="20"/>
      <c r="F64" s="23"/>
      <c r="G64" s="18"/>
      <c r="H64" s="517"/>
      <c r="J64" s="516"/>
    </row>
    <row r="65" spans="1:10" ht="16.2" thickBot="1">
      <c r="A65" s="166"/>
      <c r="B65" s="76" t="str">
        <f>Language!A697</f>
        <v>INTERFACE CONNECTIVITY</v>
      </c>
      <c r="C65" s="47" t="str">
        <f>IF(F6="No","NA",IF(COUNTBLANK(C67:C75)=9,"???",IF(COUNT(G67:G75)=0,"NA",AVERAGE(G67:G75))))</f>
        <v>???</v>
      </c>
      <c r="E65" s="20"/>
      <c r="F65" s="20"/>
      <c r="G65" s="20"/>
      <c r="H65" s="432"/>
      <c r="I65" s="20"/>
      <c r="J65" s="516"/>
    </row>
    <row r="66" spans="1:10" ht="27.6" customHeight="1">
      <c r="A66" s="10"/>
      <c r="B66" s="88" t="str">
        <f>Language!A698</f>
        <v>(An “interface” is an electronic connection that allows information to flow automatically between different computer systems and software applications)</v>
      </c>
      <c r="C66" s="20"/>
      <c r="D66" s="20"/>
      <c r="E66" s="20"/>
      <c r="F66" s="20"/>
      <c r="G66" s="20"/>
      <c r="I66" s="20"/>
      <c r="J66" s="516"/>
    </row>
    <row r="67" spans="1:10" ht="27.6" customHeight="1">
      <c r="A67" s="77" t="s">
        <v>2244</v>
      </c>
      <c r="B67" s="20" t="str">
        <f>Language!A699</f>
        <v>If the lab uses an automated AST instrument, describe the data flow between the LIS and the instrument software.</v>
      </c>
      <c r="C67" s="442"/>
      <c r="F67" s="23">
        <f>C67</f>
        <v>0</v>
      </c>
      <c r="G67" s="18" t="str">
        <f>IF(F67=2,1,IF(F67=3,0.5,IF(F67=4,0.5,IF(F67=1,0,"'"))))</f>
        <v>'</v>
      </c>
      <c r="H67" s="428"/>
      <c r="J67" s="516"/>
    </row>
    <row r="68" spans="1:10">
      <c r="A68" s="10"/>
      <c r="B68" s="465" t="str">
        <f>Language!A700</f>
        <v>1: Systems are not currently interfaced</v>
      </c>
      <c r="C68" s="21"/>
      <c r="D68" s="21"/>
      <c r="E68" s="21"/>
      <c r="F68" s="21"/>
      <c r="G68" s="21"/>
      <c r="J68" s="516"/>
    </row>
    <row r="69" spans="1:10" ht="41.4" customHeight="1">
      <c r="A69" s="10"/>
      <c r="B69" s="465" t="str">
        <f>Language!A701</f>
        <v>2: Bidirectional: Patient information (e.g., medical record number, specimen number, specimen type) flows from the LIS into the instrument software, AND results (ID and AST) flow from the instrument software back into the LIS.</v>
      </c>
      <c r="C69" s="21"/>
      <c r="D69" s="21"/>
      <c r="E69" s="21"/>
      <c r="F69" s="21"/>
      <c r="G69" s="21"/>
      <c r="J69" s="516"/>
    </row>
    <row r="70" spans="1:10" ht="27.6" customHeight="1">
      <c r="A70" s="10"/>
      <c r="B70" s="465" t="str">
        <f>Language!A702</f>
        <v>3: Uni-directional: Patient information flows from the LIS into the instrument software, but results do not transmit back into the LIS</v>
      </c>
      <c r="C70" s="21"/>
      <c r="D70" s="21"/>
      <c r="E70" s="21"/>
      <c r="F70" s="21"/>
      <c r="G70" s="21"/>
      <c r="J70" s="516"/>
    </row>
    <row r="71" spans="1:10" ht="27.6" customHeight="1">
      <c r="A71" s="10"/>
      <c r="B71" s="465" t="str">
        <f>Language!A703</f>
        <v>4: Uni-directional: Results transmit from the instrument software into the LIS, but patient information cannot flow from the LIS into the instrument software.</v>
      </c>
      <c r="C71" s="21"/>
      <c r="D71" s="21"/>
      <c r="E71" s="21"/>
      <c r="F71" s="21"/>
      <c r="G71" s="21"/>
      <c r="J71" s="516"/>
    </row>
    <row r="72" spans="1:10">
      <c r="A72" s="10"/>
      <c r="B72" s="465" t="str">
        <f>Language!A704</f>
        <v>NA: no automated instruments</v>
      </c>
      <c r="C72" s="25"/>
      <c r="J72" s="516"/>
    </row>
    <row r="73" spans="1:10">
      <c r="A73" s="77" t="s">
        <v>2245</v>
      </c>
      <c r="B73" s="20" t="str">
        <f>Language!A705</f>
        <v xml:space="preserve">Does the hospital use a Hospital Information System (HIS) or Electronic Medical Record (EMR)? </v>
      </c>
      <c r="C73" s="442"/>
      <c r="F73" s="23">
        <f>C73</f>
        <v>0</v>
      </c>
      <c r="G73" s="18" t="str">
        <f t="shared" ref="G73" si="12">IF(F73="Yes",1,IF(F73="No",0,"'"))</f>
        <v>'</v>
      </c>
      <c r="H73" s="429"/>
      <c r="I73" s="18" t="str">
        <f>IF(C73="No","System Flag","'")</f>
        <v>'</v>
      </c>
      <c r="J73" s="516"/>
    </row>
    <row r="74" spans="1:10">
      <c r="A74" s="10"/>
      <c r="B74" s="465" t="str">
        <f>Language!A706</f>
        <v>If yes, please record system name in comments</v>
      </c>
      <c r="J74" s="516"/>
    </row>
    <row r="75" spans="1:10">
      <c r="A75" s="77" t="s">
        <v>2246</v>
      </c>
      <c r="B75" s="20" t="str">
        <f>Language!A707</f>
        <v>If the LIS and HIS/EMR are interfaced, describe the data flow between the LIS and the HIS/EMR</v>
      </c>
      <c r="C75" s="442"/>
      <c r="F75" s="23">
        <f>C75</f>
        <v>0</v>
      </c>
      <c r="G75" s="18" t="str">
        <f>IF(F75=2,1,IF(F75=3,0.5,IF(F75=4,0.5,IF(F75=1,0,"'"))))</f>
        <v>'</v>
      </c>
      <c r="H75" s="428"/>
      <c r="J75" s="516"/>
    </row>
    <row r="76" spans="1:10">
      <c r="A76" s="10"/>
      <c r="B76" s="465" t="str">
        <f>Language!A708</f>
        <v>1: Systems are not interfaced</v>
      </c>
      <c r="C76" s="21"/>
      <c r="D76" s="21"/>
      <c r="E76" s="21"/>
      <c r="F76" s="21"/>
      <c r="G76" s="21"/>
    </row>
    <row r="77" spans="1:10" ht="41.4" customHeight="1">
      <c r="A77" s="10"/>
      <c r="B77" s="465" t="str">
        <f>Language!A709</f>
        <v xml:space="preserve">2: Bidirectional: Patient information (e.g., demographics, lab orders) flows from the HIS into the LIS, AND patient microbiology (ID/AST) results flow from the LIS back into the HIS. </v>
      </c>
      <c r="C77" s="21"/>
      <c r="D77" s="21"/>
      <c r="E77" s="21"/>
      <c r="F77" s="21"/>
      <c r="G77" s="21"/>
    </row>
    <row r="78" spans="1:10" ht="27.6" customHeight="1">
      <c r="A78" s="10"/>
      <c r="B78" s="465" t="str">
        <f>Language!A710</f>
        <v xml:space="preserve">3: Uni-directional: Patient demographics transmit from the HIS into the LIS, but patient results do not transmit back into the HIS </v>
      </c>
      <c r="C78" s="21"/>
      <c r="D78" s="21"/>
      <c r="E78" s="21"/>
      <c r="F78" s="21"/>
      <c r="G78" s="21"/>
    </row>
    <row r="79" spans="1:10" ht="27.6" customHeight="1">
      <c r="A79" s="10"/>
      <c r="B79" s="465" t="str">
        <f>Language!A711</f>
        <v xml:space="preserve">4: Uni-directional: Patient results transmit from the LIS into the HIS, but patient demographics cannot transmit from the HIS into the LIS. </v>
      </c>
      <c r="C79" s="21"/>
      <c r="D79" s="21"/>
      <c r="E79" s="21"/>
      <c r="F79" s="21"/>
      <c r="G79" s="21"/>
    </row>
    <row r="80" spans="1:10">
      <c r="A80" s="10"/>
      <c r="B80" s="465" t="str">
        <f>Language!A712</f>
        <v xml:space="preserve">NA: no LIS or no HIS </v>
      </c>
      <c r="C80" s="21"/>
      <c r="D80" s="21"/>
      <c r="E80" s="21"/>
      <c r="F80" s="21"/>
      <c r="G80" s="21"/>
    </row>
    <row r="81" spans="1:13">
      <c r="A81" s="520"/>
      <c r="B81" s="22"/>
      <c r="C81" s="22"/>
      <c r="H81" s="267"/>
    </row>
    <row r="82" spans="1:13">
      <c r="A82" s="520"/>
      <c r="B82" s="22"/>
      <c r="C82" s="22"/>
      <c r="H82" s="267"/>
    </row>
    <row r="83" spans="1:13">
      <c r="A83" s="520"/>
      <c r="B83" s="22"/>
      <c r="C83" s="22"/>
      <c r="H83" s="267"/>
    </row>
    <row r="84" spans="1:13">
      <c r="A84" s="520"/>
      <c r="B84" s="22"/>
      <c r="C84" s="22"/>
      <c r="H84" s="267"/>
    </row>
    <row r="91" spans="1:13" s="15" customFormat="1">
      <c r="A91" s="6"/>
      <c r="B91" s="22"/>
      <c r="D91" s="22"/>
      <c r="E91" s="22"/>
      <c r="F91" s="22"/>
      <c r="G91" s="22"/>
      <c r="H91" s="265"/>
      <c r="I91" s="22"/>
      <c r="J91" s="201"/>
      <c r="K91" s="161"/>
      <c r="L91" s="161"/>
      <c r="M91" s="161"/>
    </row>
  </sheetData>
  <sheetProtection algorithmName="SHA-256" hashValue="pUBHIVDLHsfdDNS1wgu32yOxAufD9AX6skthuVkacus=" saltValue="979XuLhkp0XZ38iP7UlJfQ==" spinCount="100000" sheet="1" selectLockedCells="1"/>
  <dataConsolidate/>
  <phoneticPr fontId="46" type="noConversion"/>
  <conditionalFormatting sqref="G7 G64">
    <cfRule type="cellIs" dxfId="1867" priority="317" stopIfTrue="1" operator="lessThan">
      <formula>0.5</formula>
    </cfRule>
    <cfRule type="cellIs" dxfId="1866" priority="318" stopIfTrue="1" operator="between">
      <formula>0.5</formula>
      <formula>0.75</formula>
    </cfRule>
    <cfRule type="cellIs" dxfId="1865" priority="319" stopIfTrue="1" operator="greaterThan">
      <formula>0.75</formula>
    </cfRule>
  </conditionalFormatting>
  <conditionalFormatting sqref="G69">
    <cfRule type="cellIs" dxfId="1864" priority="314" stopIfTrue="1" operator="lessThan">
      <formula>0.5</formula>
    </cfRule>
    <cfRule type="cellIs" dxfId="1863" priority="315" stopIfTrue="1" operator="between">
      <formula>0.5</formula>
      <formula>0.75</formula>
    </cfRule>
    <cfRule type="cellIs" dxfId="1862" priority="316" stopIfTrue="1" operator="greaterThan">
      <formula>0.75</formula>
    </cfRule>
  </conditionalFormatting>
  <conditionalFormatting sqref="G76">
    <cfRule type="cellIs" dxfId="1861" priority="311" stopIfTrue="1" operator="lessThan">
      <formula>0.5</formula>
    </cfRule>
    <cfRule type="cellIs" dxfId="1860" priority="312" stopIfTrue="1" operator="between">
      <formula>0.5</formula>
      <formula>0.75</formula>
    </cfRule>
    <cfRule type="cellIs" dxfId="1859" priority="313" stopIfTrue="1" operator="greaterThan">
      <formula>0.75</formula>
    </cfRule>
  </conditionalFormatting>
  <conditionalFormatting sqref="G52:G53">
    <cfRule type="cellIs" dxfId="1858" priority="245" stopIfTrue="1" operator="lessThan">
      <formula>0.5</formula>
    </cfRule>
    <cfRule type="cellIs" dxfId="1857" priority="246" stopIfTrue="1" operator="between">
      <formula>0.5</formula>
      <formula>0.75</formula>
    </cfRule>
    <cfRule type="cellIs" dxfId="1856" priority="247" stopIfTrue="1" operator="greaterThan">
      <formula>0.75</formula>
    </cfRule>
  </conditionalFormatting>
  <conditionalFormatting sqref="G67">
    <cfRule type="cellIs" dxfId="1855" priority="224" stopIfTrue="1" operator="lessThan">
      <formula>0.5</formula>
    </cfRule>
    <cfRule type="cellIs" dxfId="1854" priority="225" stopIfTrue="1" operator="between">
      <formula>0.5</formula>
      <formula>0.75</formula>
    </cfRule>
    <cfRule type="cellIs" dxfId="1853" priority="226" stopIfTrue="1" operator="greaterThan">
      <formula>0.75</formula>
    </cfRule>
  </conditionalFormatting>
  <conditionalFormatting sqref="C5">
    <cfRule type="cellIs" dxfId="1852" priority="162" stopIfTrue="1" operator="greaterThanOrEqual">
      <formula>0.8</formula>
    </cfRule>
    <cfRule type="cellIs" dxfId="1851" priority="163" stopIfTrue="1" operator="between">
      <formula>0.5</formula>
      <formula>0.799</formula>
    </cfRule>
    <cfRule type="cellIs" dxfId="1850" priority="164" stopIfTrue="1" operator="lessThan">
      <formula>0.5</formula>
    </cfRule>
  </conditionalFormatting>
  <conditionalFormatting sqref="C43">
    <cfRule type="cellIs" dxfId="1849" priority="159" stopIfTrue="1" operator="greaterThanOrEqual">
      <formula>0.8</formula>
    </cfRule>
    <cfRule type="cellIs" dxfId="1848" priority="160" stopIfTrue="1" operator="between">
      <formula>0.5</formula>
      <formula>0.799</formula>
    </cfRule>
    <cfRule type="cellIs" dxfId="1847" priority="161" stopIfTrue="1" operator="lessThan">
      <formula>0.5</formula>
    </cfRule>
  </conditionalFormatting>
  <conditionalFormatting sqref="C57">
    <cfRule type="cellIs" dxfId="1846" priority="156" stopIfTrue="1" operator="greaterThanOrEqual">
      <formula>0.8</formula>
    </cfRule>
    <cfRule type="cellIs" dxfId="1845" priority="157" stopIfTrue="1" operator="between">
      <formula>0.5</formula>
      <formula>0.799</formula>
    </cfRule>
    <cfRule type="cellIs" dxfId="1844" priority="158" stopIfTrue="1" operator="lessThan">
      <formula>0.5</formula>
    </cfRule>
  </conditionalFormatting>
  <conditionalFormatting sqref="C65">
    <cfRule type="cellIs" dxfId="1843" priority="153" stopIfTrue="1" operator="greaterThanOrEqual">
      <formula>0.8</formula>
    </cfRule>
    <cfRule type="cellIs" dxfId="1842" priority="154" stopIfTrue="1" operator="between">
      <formula>0.5</formula>
      <formula>0.799</formula>
    </cfRule>
    <cfRule type="cellIs" dxfId="1841" priority="155" stopIfTrue="1" operator="lessThan">
      <formula>0.5</formula>
    </cfRule>
  </conditionalFormatting>
  <conditionalFormatting sqref="C29">
    <cfRule type="cellIs" dxfId="1840" priority="77" stopIfTrue="1" operator="greaterThanOrEqual">
      <formula>0.8</formula>
    </cfRule>
    <cfRule type="cellIs" dxfId="1839" priority="78" stopIfTrue="1" operator="between">
      <formula>0.5</formula>
      <formula>0.799</formula>
    </cfRule>
    <cfRule type="cellIs" dxfId="1838" priority="79" stopIfTrue="1" operator="lessThan">
      <formula>0.5</formula>
    </cfRule>
  </conditionalFormatting>
  <conditionalFormatting sqref="G28">
    <cfRule type="cellIs" dxfId="1837" priority="59" stopIfTrue="1" operator="lessThan">
      <formula>0.5</formula>
    </cfRule>
    <cfRule type="cellIs" dxfId="1836" priority="60" stopIfTrue="1" operator="between">
      <formula>0.5</formula>
      <formula>0.75</formula>
    </cfRule>
    <cfRule type="cellIs" dxfId="1835" priority="61" stopIfTrue="1" operator="greaterThan">
      <formula>0.75</formula>
    </cfRule>
  </conditionalFormatting>
  <conditionalFormatting sqref="C18">
    <cfRule type="cellIs" dxfId="1834" priority="50" stopIfTrue="1" operator="greaterThanOrEqual">
      <formula>0.8</formula>
    </cfRule>
    <cfRule type="cellIs" dxfId="1833" priority="51" stopIfTrue="1" operator="between">
      <formula>0.5</formula>
      <formula>0.799</formula>
    </cfRule>
    <cfRule type="cellIs" dxfId="1832" priority="52" stopIfTrue="1" operator="lessThan">
      <formula>0.5</formula>
    </cfRule>
  </conditionalFormatting>
  <conditionalFormatting sqref="I6">
    <cfRule type="containsText" dxfId="1831" priority="40" operator="containsText" text="System Flag">
      <formula>NOT(ISERROR(SEARCH("System Flag",I6)))</formula>
    </cfRule>
  </conditionalFormatting>
  <conditionalFormatting sqref="I73">
    <cfRule type="containsText" dxfId="1830" priority="39" operator="containsText" text="System Flag">
      <formula>NOT(ISERROR(SEARCH("System Flag",I73)))</formula>
    </cfRule>
  </conditionalFormatting>
  <conditionalFormatting sqref="G16">
    <cfRule type="cellIs" dxfId="1829" priority="36" stopIfTrue="1" operator="lessThan">
      <formula>0.5</formula>
    </cfRule>
    <cfRule type="cellIs" dxfId="1828" priority="37" stopIfTrue="1" operator="between">
      <formula>0.5</formula>
      <formula>0.75</formula>
    </cfRule>
    <cfRule type="cellIs" dxfId="1827" priority="38" stopIfTrue="1" operator="greaterThan">
      <formula>0.75</formula>
    </cfRule>
  </conditionalFormatting>
  <conditionalFormatting sqref="I54:I55">
    <cfRule type="containsText" dxfId="1826" priority="32" operator="containsText" text="Red Flag">
      <formula>NOT(ISERROR(SEARCH("Red Flag",I54)))</formula>
    </cfRule>
  </conditionalFormatting>
  <conditionalFormatting sqref="G6">
    <cfRule type="cellIs" dxfId="1825" priority="29" stopIfTrue="1" operator="lessThan">
      <formula>0.5</formula>
    </cfRule>
    <cfRule type="cellIs" dxfId="1824" priority="30" stopIfTrue="1" operator="between">
      <formula>0.5</formula>
      <formula>0.75</formula>
    </cfRule>
    <cfRule type="cellIs" dxfId="1823" priority="31" stopIfTrue="1" operator="greaterThan">
      <formula>0.75</formula>
    </cfRule>
  </conditionalFormatting>
  <conditionalFormatting sqref="G6">
    <cfRule type="containsText" dxfId="1822" priority="28" stopIfTrue="1" operator="containsText" text="RED FLAG">
      <formula>NOT(ISERROR(SEARCH("RED FLAG",G6)))</formula>
    </cfRule>
  </conditionalFormatting>
  <conditionalFormatting sqref="G9:G15">
    <cfRule type="cellIs" dxfId="1821" priority="25" stopIfTrue="1" operator="lessThan">
      <formula>0.5</formula>
    </cfRule>
    <cfRule type="cellIs" dxfId="1820" priority="26" stopIfTrue="1" operator="between">
      <formula>0.5</formula>
      <formula>0.75</formula>
    </cfRule>
    <cfRule type="cellIs" dxfId="1819" priority="27" stopIfTrue="1" operator="greaterThan">
      <formula>0.75</formula>
    </cfRule>
  </conditionalFormatting>
  <conditionalFormatting sqref="G9:G15">
    <cfRule type="containsText" dxfId="1818" priority="24" stopIfTrue="1" operator="containsText" text="RED FLAG">
      <formula>NOT(ISERROR(SEARCH("RED FLAG",G9)))</formula>
    </cfRule>
  </conditionalFormatting>
  <conditionalFormatting sqref="G20:G27">
    <cfRule type="cellIs" dxfId="1817" priority="21" stopIfTrue="1" operator="lessThan">
      <formula>0.5</formula>
    </cfRule>
    <cfRule type="cellIs" dxfId="1816" priority="22" stopIfTrue="1" operator="between">
      <formula>0.5</formula>
      <formula>0.75</formula>
    </cfRule>
    <cfRule type="cellIs" dxfId="1815" priority="23" stopIfTrue="1" operator="greaterThan">
      <formula>0.75</formula>
    </cfRule>
  </conditionalFormatting>
  <conditionalFormatting sqref="G20:G27">
    <cfRule type="containsText" dxfId="1814" priority="20" stopIfTrue="1" operator="containsText" text="RED FLAG">
      <formula>NOT(ISERROR(SEARCH("RED FLAG",G20)))</formula>
    </cfRule>
  </conditionalFormatting>
  <conditionalFormatting sqref="G32:G41">
    <cfRule type="cellIs" dxfId="1813" priority="17" stopIfTrue="1" operator="lessThan">
      <formula>0.5</formula>
    </cfRule>
    <cfRule type="cellIs" dxfId="1812" priority="18" stopIfTrue="1" operator="between">
      <formula>0.5</formula>
      <formula>0.75</formula>
    </cfRule>
    <cfRule type="cellIs" dxfId="1811" priority="19" stopIfTrue="1" operator="greaterThan">
      <formula>0.75</formula>
    </cfRule>
  </conditionalFormatting>
  <conditionalFormatting sqref="G32:G41">
    <cfRule type="containsText" dxfId="1810" priority="16" stopIfTrue="1" operator="containsText" text="RED FLAG">
      <formula>NOT(ISERROR(SEARCH("RED FLAG",G32)))</formula>
    </cfRule>
  </conditionalFormatting>
  <conditionalFormatting sqref="G46:G51 G44 G54:G55">
    <cfRule type="cellIs" dxfId="1809" priority="13" stopIfTrue="1" operator="lessThan">
      <formula>0.5</formula>
    </cfRule>
    <cfRule type="cellIs" dxfId="1808" priority="14" stopIfTrue="1" operator="between">
      <formula>0.5</formula>
      <formula>0.75</formula>
    </cfRule>
    <cfRule type="cellIs" dxfId="1807" priority="15" stopIfTrue="1" operator="greaterThan">
      <formula>0.75</formula>
    </cfRule>
  </conditionalFormatting>
  <conditionalFormatting sqref="G46:G51 G44 G54:G55">
    <cfRule type="containsText" dxfId="1806" priority="12" stopIfTrue="1" operator="containsText" text="RED FLAG">
      <formula>NOT(ISERROR(SEARCH("RED FLAG",G44)))</formula>
    </cfRule>
  </conditionalFormatting>
  <conditionalFormatting sqref="G59:G63">
    <cfRule type="cellIs" dxfId="1805" priority="9" stopIfTrue="1" operator="lessThan">
      <formula>0.5</formula>
    </cfRule>
    <cfRule type="cellIs" dxfId="1804" priority="10" stopIfTrue="1" operator="between">
      <formula>0.5</formula>
      <formula>0.75</formula>
    </cfRule>
    <cfRule type="cellIs" dxfId="1803" priority="11" stopIfTrue="1" operator="greaterThan">
      <formula>0.75</formula>
    </cfRule>
  </conditionalFormatting>
  <conditionalFormatting sqref="G59:G63">
    <cfRule type="containsText" dxfId="1802" priority="8" stopIfTrue="1" operator="containsText" text="RED FLAG">
      <formula>NOT(ISERROR(SEARCH("RED FLAG",G59)))</formula>
    </cfRule>
  </conditionalFormatting>
  <conditionalFormatting sqref="G73">
    <cfRule type="cellIs" dxfId="1801" priority="5" stopIfTrue="1" operator="lessThan">
      <formula>0.5</formula>
    </cfRule>
    <cfRule type="cellIs" dxfId="1800" priority="6" stopIfTrue="1" operator="between">
      <formula>0.5</formula>
      <formula>0.75</formula>
    </cfRule>
    <cfRule type="cellIs" dxfId="1799" priority="7" stopIfTrue="1" operator="greaterThan">
      <formula>0.75</formula>
    </cfRule>
  </conditionalFormatting>
  <conditionalFormatting sqref="G73">
    <cfRule type="containsText" dxfId="1798" priority="4" stopIfTrue="1" operator="containsText" text="RED FLAG">
      <formula>NOT(ISERROR(SEARCH("RED FLAG",G73)))</formula>
    </cfRule>
  </conditionalFormatting>
  <conditionalFormatting sqref="G75">
    <cfRule type="cellIs" dxfId="1797" priority="1" stopIfTrue="1" operator="lessThan">
      <formula>0.5</formula>
    </cfRule>
    <cfRule type="cellIs" dxfId="1796" priority="2" stopIfTrue="1" operator="between">
      <formula>0.5</formula>
      <formula>0.75</formula>
    </cfRule>
    <cfRule type="cellIs" dxfId="1795" priority="3" stopIfTrue="1" operator="greaterThan">
      <formula>0.75</formula>
    </cfRule>
  </conditionalFormatting>
  <dataValidations count="5">
    <dataValidation type="list" allowBlank="1" showInputMessage="1" showErrorMessage="1" sqref="C67 C75" xr:uid="{00000000-0002-0000-0600-000000000000}">
      <formula1>"1,2,3,4,NA"</formula1>
    </dataValidation>
    <dataValidation type="list" allowBlank="1" showInputMessage="1" showErrorMessage="1" sqref="C59:C63 C6 C20:C27 C9:C16 C46:C53 C44 C32:C41" xr:uid="{00000000-0002-0000-0600-000001000000}">
      <formula1>"Yes,No"</formula1>
    </dataValidation>
    <dataValidation type="list" allowBlank="1" showInputMessage="1" showErrorMessage="1" sqref="C73" xr:uid="{00000000-0002-0000-0600-000002000000}">
      <formula1>"Yes,No, NA"</formula1>
    </dataValidation>
    <dataValidation type="list" allowBlank="1" showInputMessage="1" showErrorMessage="1" sqref="C54" xr:uid="{00000000-0002-0000-0600-000003000000}">
      <formula1>"Yes,No,NA"</formula1>
    </dataValidation>
    <dataValidation type="list" allowBlank="1" showInputMessage="1" showErrorMessage="1" sqref="C55" xr:uid="{00000000-0002-0000-0600-000004000000}">
      <formula1>"Yes,No,Don't Know,NA"</formula1>
    </dataValidation>
  </dataValidations>
  <pageMargins left="0.25" right="0.25" top="0.75000000000000011" bottom="0.75000000000000011" header="0.30000000000000004" footer="0.30000000000000004"/>
  <pageSetup paperSize="9" scale="94" fitToHeight="6" orientation="landscape" r:id="rId1"/>
  <headerFooter>
    <oddFooter>&amp;C&amp;A -&amp;P</oddFooter>
  </headerFooter>
  <rowBreaks count="2" manualBreakCount="2">
    <brk id="28" max="4" man="1"/>
    <brk id="56"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0070C0"/>
    <pageSetUpPr fitToPage="1"/>
  </sheetPr>
  <dimension ref="A1:K113"/>
  <sheetViews>
    <sheetView zoomScaleNormal="100" zoomScaleSheetLayoutView="90" zoomScalePageLayoutView="80" workbookViewId="0">
      <selection activeCell="C5" sqref="C5"/>
    </sheetView>
  </sheetViews>
  <sheetFormatPr defaultColWidth="11" defaultRowHeight="15.6"/>
  <cols>
    <col min="1" max="1" width="4.69921875" style="6" customWidth="1"/>
    <col min="2" max="2" width="82.19921875" style="13" customWidth="1"/>
    <col min="3" max="3" width="5.19921875" style="15" customWidth="1"/>
    <col min="4" max="4" width="3.69921875" style="22" customWidth="1"/>
    <col min="5" max="5" width="3.69921875" style="22" hidden="1" customWidth="1"/>
    <col min="6" max="6" width="5.19921875" style="22" hidden="1" customWidth="1"/>
    <col min="7" max="7" width="5.19921875" style="22" customWidth="1"/>
    <col min="8" max="8" width="37.69921875" style="265" customWidth="1"/>
    <col min="9" max="9" width="9.69921875" style="22" customWidth="1"/>
    <col min="10" max="10" width="11" style="201"/>
    <col min="11" max="16384" width="11" style="22"/>
  </cols>
  <sheetData>
    <row r="1" spans="1:9">
      <c r="A1" s="10"/>
      <c r="B1" s="11" t="str">
        <f>Language!A713</f>
        <v>3- DATA MANAGEMENT</v>
      </c>
      <c r="C1" s="52" t="str">
        <f>IF(COUNT(G4:G239)=0,"???",AVERAGE(G4:G239))</f>
        <v>???</v>
      </c>
      <c r="H1" s="264" t="str">
        <f>'Facility 1'!H1</f>
        <v>Comments</v>
      </c>
    </row>
    <row r="2" spans="1:9" ht="27.6" customHeight="1">
      <c r="A2" s="10"/>
      <c r="B2" s="24" t="str">
        <f>Language!A714</f>
        <v>Please note: all questions refer only to clinical patient specimens, NOT to research specimens</v>
      </c>
    </row>
    <row r="3" spans="1:9" ht="16.2" thickBot="1">
      <c r="A3" s="10"/>
      <c r="B3" s="33"/>
    </row>
    <row r="4" spans="1:9" ht="16.2" thickBot="1">
      <c r="A4" s="166"/>
      <c r="B4" s="14" t="str">
        <f>Language!A715</f>
        <v>PATIENT AND SPECIMEN IDENTIFICATION</v>
      </c>
      <c r="C4" s="47" t="str">
        <f>IF(COUNTBLANK(C5:C11)=7,"???",IF(COUNT(G5:G11)=0,"NA",AVERAGE(G5:G11)))</f>
        <v>???</v>
      </c>
      <c r="H4" s="432"/>
    </row>
    <row r="5" spans="1:9" ht="27.6" customHeight="1">
      <c r="A5" s="10" t="s">
        <v>421</v>
      </c>
      <c r="B5" s="8" t="str">
        <f>Language!A716</f>
        <v>Are inpatients assigned a unique patient ID number upon admission to the hospital?</v>
      </c>
      <c r="C5" s="442"/>
      <c r="F5" s="23">
        <f t="shared" ref="F5:F11" si="0">C5</f>
        <v>0</v>
      </c>
      <c r="G5" s="18" t="str">
        <f t="shared" ref="G5:G11" si="1">IF(F5="Yes",1,IF(F5="No",0,"'"))</f>
        <v>'</v>
      </c>
      <c r="H5" s="429"/>
      <c r="I5" s="18" t="str">
        <f>IF(C5="No","System Flag","'")</f>
        <v>'</v>
      </c>
    </row>
    <row r="6" spans="1:9" ht="27.6" customHeight="1">
      <c r="A6" s="10" t="s">
        <v>422</v>
      </c>
      <c r="B6" s="8" t="str">
        <f>Language!A717</f>
        <v>Are outpatients assigned a unique patient ID number upon registration at the clinic?</v>
      </c>
      <c r="C6" s="442"/>
      <c r="F6" s="23">
        <f t="shared" si="0"/>
        <v>0</v>
      </c>
      <c r="G6" s="18" t="str">
        <f t="shared" si="1"/>
        <v>'</v>
      </c>
      <c r="H6" s="429"/>
      <c r="I6" s="18" t="str">
        <f>IF(C6="No","System Flag","'")</f>
        <v>'</v>
      </c>
    </row>
    <row r="7" spans="1:9" ht="27.6" customHeight="1">
      <c r="A7" s="10" t="s">
        <v>423</v>
      </c>
      <c r="B7" s="8" t="str">
        <f>Language!A718</f>
        <v>Are patient ID numbers assigned in such a way that no two patients are given the same number in the course of one year?</v>
      </c>
      <c r="C7" s="442"/>
      <c r="F7" s="23">
        <f t="shared" si="0"/>
        <v>0</v>
      </c>
      <c r="G7" s="18" t="str">
        <f t="shared" si="1"/>
        <v>'</v>
      </c>
      <c r="H7" s="430"/>
      <c r="I7" s="18" t="str">
        <f>IF(C7="No","System Flag","'")</f>
        <v>'</v>
      </c>
    </row>
    <row r="8" spans="1:9">
      <c r="A8" s="10" t="s">
        <v>424</v>
      </c>
      <c r="B8" s="8" t="str">
        <f>Language!A719</f>
        <v>Do patients retain the same patient ID number each time they are admitted to the hospital?</v>
      </c>
      <c r="C8" s="442"/>
      <c r="F8" s="23">
        <f t="shared" si="0"/>
        <v>0</v>
      </c>
      <c r="G8" s="18" t="str">
        <f t="shared" si="1"/>
        <v>'</v>
      </c>
      <c r="H8" s="430"/>
      <c r="I8" s="18" t="str">
        <f>IF(C8="No","System Flag","'")</f>
        <v>'</v>
      </c>
    </row>
    <row r="9" spans="1:9">
      <c r="A9" s="10" t="s">
        <v>425</v>
      </c>
      <c r="B9" s="8" t="str">
        <f>Language!A720</f>
        <v>Does the laboratory use the same patient ID numbers assigned by the hospital and/or clinics?</v>
      </c>
      <c r="C9" s="442"/>
      <c r="F9" s="23">
        <f t="shared" si="0"/>
        <v>0</v>
      </c>
      <c r="G9" s="18" t="str">
        <f t="shared" si="1"/>
        <v>'</v>
      </c>
      <c r="H9" s="429"/>
      <c r="I9" s="18" t="str">
        <f>IF(C9="No","Red Flag","'")</f>
        <v>'</v>
      </c>
    </row>
    <row r="10" spans="1:9">
      <c r="A10" s="10" t="s">
        <v>426</v>
      </c>
      <c r="B10" s="8" t="str">
        <f>Language!A721</f>
        <v>Does the laboratory assign a unique specimen ID number to each specimen received in the lab?</v>
      </c>
      <c r="C10" s="442"/>
      <c r="F10" s="23">
        <f t="shared" si="0"/>
        <v>0</v>
      </c>
      <c r="G10" s="18" t="str">
        <f t="shared" si="1"/>
        <v>'</v>
      </c>
      <c r="H10" s="429"/>
      <c r="I10" s="18" t="str">
        <f>IF(C10="No","Red Flag","'")</f>
        <v>'</v>
      </c>
    </row>
    <row r="11" spans="1:9" ht="27.6" customHeight="1">
      <c r="A11" s="10" t="s">
        <v>429</v>
      </c>
      <c r="B11" s="8" t="str">
        <f>Language!A722</f>
        <v>Are specimen numbers assigned in such a way that no two specimens are given the same number during one year?</v>
      </c>
      <c r="C11" s="442"/>
      <c r="F11" s="23">
        <f t="shared" si="0"/>
        <v>0</v>
      </c>
      <c r="G11" s="18" t="str">
        <f t="shared" si="1"/>
        <v>'</v>
      </c>
      <c r="H11" s="429"/>
      <c r="I11" s="18" t="str">
        <f>IF(C11="No","Red Flag","'")</f>
        <v>'</v>
      </c>
    </row>
    <row r="12" spans="1:9" ht="16.2" thickBot="1">
      <c r="A12" s="10"/>
      <c r="B12" s="8"/>
      <c r="F12" s="23"/>
      <c r="G12" s="18"/>
      <c r="H12" s="266"/>
    </row>
    <row r="13" spans="1:9" ht="16.2" thickBot="1">
      <c r="A13" s="166"/>
      <c r="B13" s="74" t="str">
        <f>Language!A723</f>
        <v>SPECIMEN REQUISITION FORM</v>
      </c>
      <c r="C13" s="73" t="str">
        <f>IF(COUNTBLANK(C15:C25)=11,"???",IF(COUNT(G15:G25)=0,"NA",AVERAGE(G15:G25)))</f>
        <v>???</v>
      </c>
      <c r="D13" s="33"/>
      <c r="E13" s="33"/>
      <c r="F13" s="33"/>
      <c r="H13" s="432"/>
    </row>
    <row r="14" spans="1:9">
      <c r="A14" s="10"/>
      <c r="B14" s="129" t="str">
        <f>Language!A724</f>
        <v>Review the specimen requisition form. Does it contain each of the following data fields?</v>
      </c>
      <c r="C14" s="21"/>
      <c r="D14" s="21"/>
      <c r="E14" s="21"/>
      <c r="F14" s="21"/>
      <c r="G14" s="21"/>
    </row>
    <row r="15" spans="1:9">
      <c r="A15" s="77" t="s">
        <v>427</v>
      </c>
      <c r="B15" s="37" t="str">
        <f>Language!A725</f>
        <v>Patient Name</v>
      </c>
      <c r="C15" s="545"/>
      <c r="D15" s="103"/>
      <c r="E15" s="103"/>
      <c r="F15" s="29">
        <f t="shared" ref="F15:F25" si="2">C15</f>
        <v>0</v>
      </c>
      <c r="G15" s="18" t="str">
        <f t="shared" ref="G15:G25" si="3">IF(F15="Yes",1,IF(F15="No",0,"'"))</f>
        <v>'</v>
      </c>
      <c r="H15" s="429"/>
    </row>
    <row r="16" spans="1:9">
      <c r="A16" s="77" t="s">
        <v>428</v>
      </c>
      <c r="B16" s="37" t="str">
        <f>Language!A726</f>
        <v>Patient Identification Number</v>
      </c>
      <c r="C16" s="27"/>
      <c r="D16" s="103"/>
      <c r="E16" s="103"/>
      <c r="F16" s="29">
        <f t="shared" si="2"/>
        <v>0</v>
      </c>
      <c r="G16" s="18" t="str">
        <f t="shared" si="3"/>
        <v>'</v>
      </c>
      <c r="H16" s="429"/>
    </row>
    <row r="17" spans="1:11">
      <c r="A17" s="77" t="s">
        <v>430</v>
      </c>
      <c r="B17" s="37" t="str">
        <f>Language!A727</f>
        <v>Patient Date of Birth or Age</v>
      </c>
      <c r="C17" s="27"/>
      <c r="D17" s="103"/>
      <c r="E17" s="103"/>
      <c r="F17" s="29">
        <f t="shared" si="2"/>
        <v>0</v>
      </c>
      <c r="G17" s="18" t="str">
        <f t="shared" si="3"/>
        <v>'</v>
      </c>
      <c r="H17" s="429"/>
    </row>
    <row r="18" spans="1:11">
      <c r="A18" s="77" t="s">
        <v>431</v>
      </c>
      <c r="B18" s="37" t="str">
        <f>Language!A728</f>
        <v>Patient Location (Ward or unit at time of specimen collection, e.g., "ICU")</v>
      </c>
      <c r="C18" s="27"/>
      <c r="D18" s="103"/>
      <c r="E18" s="103"/>
      <c r="F18" s="29">
        <f t="shared" si="2"/>
        <v>0</v>
      </c>
      <c r="G18" s="18" t="str">
        <f t="shared" si="3"/>
        <v>'</v>
      </c>
      <c r="H18" s="429"/>
    </row>
    <row r="19" spans="1:11">
      <c r="A19" s="77" t="s">
        <v>432</v>
      </c>
      <c r="B19" s="37" t="str">
        <f>Language!A729</f>
        <v>Specimen Type (e.g., Wound)</v>
      </c>
      <c r="C19" s="27"/>
      <c r="D19" s="103"/>
      <c r="E19" s="103"/>
      <c r="F19" s="29">
        <f t="shared" si="2"/>
        <v>0</v>
      </c>
      <c r="G19" s="18" t="str">
        <f t="shared" si="3"/>
        <v>'</v>
      </c>
      <c r="H19" s="429"/>
    </row>
    <row r="20" spans="1:11">
      <c r="A20" s="77" t="s">
        <v>433</v>
      </c>
      <c r="B20" s="37" t="str">
        <f>Language!A730</f>
        <v>Specimen Source/Body Site (e.g., Arm)</v>
      </c>
      <c r="C20" s="27"/>
      <c r="D20" s="103"/>
      <c r="E20" s="103"/>
      <c r="F20" s="29">
        <f t="shared" si="2"/>
        <v>0</v>
      </c>
      <c r="G20" s="18" t="str">
        <f t="shared" si="3"/>
        <v>'</v>
      </c>
      <c r="H20" s="430"/>
    </row>
    <row r="21" spans="1:11">
      <c r="A21" s="77" t="s">
        <v>434</v>
      </c>
      <c r="B21" s="37" t="str">
        <f>Language!A731</f>
        <v>Date of specimen collection</v>
      </c>
      <c r="C21" s="27"/>
      <c r="D21" s="103"/>
      <c r="E21" s="103"/>
      <c r="F21" s="29">
        <f t="shared" si="2"/>
        <v>0</v>
      </c>
      <c r="G21" s="18" t="str">
        <f t="shared" si="3"/>
        <v>'</v>
      </c>
      <c r="H21" s="429"/>
    </row>
    <row r="22" spans="1:11">
      <c r="A22" s="77" t="s">
        <v>435</v>
      </c>
      <c r="B22" s="37" t="str">
        <f>Language!A732</f>
        <v>Time of specimen collection</v>
      </c>
      <c r="C22" s="27"/>
      <c r="D22" s="103"/>
      <c r="E22" s="103"/>
      <c r="F22" s="29">
        <f t="shared" si="2"/>
        <v>0</v>
      </c>
      <c r="G22" s="18" t="str">
        <f t="shared" si="3"/>
        <v>'</v>
      </c>
      <c r="H22" s="429"/>
    </row>
    <row r="23" spans="1:11">
      <c r="A23" s="77" t="s">
        <v>436</v>
      </c>
      <c r="B23" s="37" t="str">
        <f>Language!A733</f>
        <v>Test order (e.g., culture &amp; AST)</v>
      </c>
      <c r="C23" s="27"/>
      <c r="D23" s="103"/>
      <c r="E23" s="103"/>
      <c r="F23" s="29">
        <f t="shared" si="2"/>
        <v>0</v>
      </c>
      <c r="G23" s="18" t="str">
        <f t="shared" si="3"/>
        <v>'</v>
      </c>
      <c r="H23" s="430"/>
    </row>
    <row r="24" spans="1:11">
      <c r="A24" s="77" t="s">
        <v>437</v>
      </c>
      <c r="B24" s="37" t="str">
        <f>Language!A734</f>
        <v>Name of physician ordering the test</v>
      </c>
      <c r="C24" s="27"/>
      <c r="D24" s="103"/>
      <c r="E24" s="103"/>
      <c r="F24" s="29">
        <f t="shared" si="2"/>
        <v>0</v>
      </c>
      <c r="G24" s="18" t="str">
        <f t="shared" si="3"/>
        <v>'</v>
      </c>
      <c r="H24" s="429"/>
    </row>
    <row r="25" spans="1:11">
      <c r="A25" s="77" t="s">
        <v>438</v>
      </c>
      <c r="B25" s="37" t="str">
        <f>Language!A735</f>
        <v>Name or initials of person collecting specimen</v>
      </c>
      <c r="C25" s="27"/>
      <c r="D25" s="103"/>
      <c r="E25" s="103"/>
      <c r="F25" s="29">
        <f t="shared" si="2"/>
        <v>0</v>
      </c>
      <c r="G25" s="18" t="str">
        <f t="shared" si="3"/>
        <v>'</v>
      </c>
      <c r="H25" s="429"/>
    </row>
    <row r="26" spans="1:11" ht="16.2" thickBot="1">
      <c r="A26" s="16"/>
      <c r="B26" s="471"/>
      <c r="C26" s="235"/>
      <c r="D26" s="514"/>
      <c r="E26" s="201"/>
      <c r="F26" s="201"/>
      <c r="G26" s="201"/>
      <c r="H26" s="471"/>
      <c r="K26" s="201"/>
    </row>
    <row r="27" spans="1:11" ht="16.2" thickBot="1">
      <c r="A27" s="166"/>
      <c r="B27" s="74" t="str">
        <f>Language!A736</f>
        <v>ORDER ENTRY</v>
      </c>
      <c r="C27" s="73" t="str">
        <f>IF(COUNTBLANK(C29:C41)=13,"???",IF(COUNT(G29:G41)=0,"NA",AVERAGE(G29:G41)))</f>
        <v>???</v>
      </c>
      <c r="D27" s="33"/>
      <c r="E27" s="33"/>
      <c r="F27" s="33"/>
      <c r="H27" s="432"/>
    </row>
    <row r="28" spans="1:11" ht="27.6" customHeight="1">
      <c r="A28" s="10"/>
      <c r="B28" s="129" t="str">
        <f>Language!A737</f>
        <v>Review the process of specimen receiving/order entry. Are each of the following variables captured in the logbook or computer system?</v>
      </c>
      <c r="C28" s="28"/>
      <c r="F28" s="29"/>
      <c r="G28" s="18"/>
    </row>
    <row r="29" spans="1:11">
      <c r="A29" s="77" t="s">
        <v>439</v>
      </c>
      <c r="B29" s="37" t="str">
        <f>Language!A738</f>
        <v>Patient Name</v>
      </c>
      <c r="C29" s="27"/>
      <c r="F29" s="29">
        <f t="shared" ref="F29:F41" si="4">C29</f>
        <v>0</v>
      </c>
      <c r="G29" s="18" t="str">
        <f t="shared" ref="G29:G41" si="5">IF(F29="Yes",1,IF(F29="No",0,"'"))</f>
        <v>'</v>
      </c>
      <c r="H29" s="440"/>
    </row>
    <row r="30" spans="1:11">
      <c r="A30" s="77" t="s">
        <v>440</v>
      </c>
      <c r="B30" s="37" t="str">
        <f>Language!A739</f>
        <v>Patient Identification Number</v>
      </c>
      <c r="C30" s="27"/>
      <c r="F30" s="29">
        <f t="shared" si="4"/>
        <v>0</v>
      </c>
      <c r="G30" s="18" t="str">
        <f t="shared" si="5"/>
        <v>'</v>
      </c>
      <c r="H30" s="441"/>
    </row>
    <row r="31" spans="1:11">
      <c r="A31" s="77" t="s">
        <v>441</v>
      </c>
      <c r="B31" s="37" t="str">
        <f>Language!A740</f>
        <v>Patient Date of Birth or Age</v>
      </c>
      <c r="C31" s="27"/>
      <c r="F31" s="29">
        <f t="shared" si="4"/>
        <v>0</v>
      </c>
      <c r="G31" s="18" t="str">
        <f t="shared" si="5"/>
        <v>'</v>
      </c>
      <c r="H31" s="440"/>
    </row>
    <row r="32" spans="1:11">
      <c r="A32" s="77" t="s">
        <v>442</v>
      </c>
      <c r="B32" s="37" t="str">
        <f>Language!A741</f>
        <v>Patient Location (Ward or unit at time of specimen collection, e.g., "ICU")</v>
      </c>
      <c r="C32" s="27"/>
      <c r="F32" s="29">
        <f t="shared" si="4"/>
        <v>0</v>
      </c>
      <c r="G32" s="18" t="str">
        <f t="shared" si="5"/>
        <v>'</v>
      </c>
      <c r="H32" s="440"/>
    </row>
    <row r="33" spans="1:8">
      <c r="A33" s="77" t="s">
        <v>443</v>
      </c>
      <c r="B33" s="37" t="str">
        <f>Language!A742</f>
        <v>Specimen Type (e.g., Wound)</v>
      </c>
      <c r="C33" s="27"/>
      <c r="F33" s="29">
        <f t="shared" si="4"/>
        <v>0</v>
      </c>
      <c r="G33" s="18" t="str">
        <f t="shared" si="5"/>
        <v>'</v>
      </c>
      <c r="H33" s="440"/>
    </row>
    <row r="34" spans="1:8">
      <c r="A34" s="77" t="s">
        <v>1067</v>
      </c>
      <c r="B34" s="83" t="str">
        <f>Language!A743</f>
        <v>Specimen Source/Body Site (e.g., Arm)</v>
      </c>
      <c r="C34" s="27"/>
      <c r="F34" s="29">
        <f t="shared" si="4"/>
        <v>0</v>
      </c>
      <c r="G34" s="18" t="str">
        <f t="shared" si="5"/>
        <v>'</v>
      </c>
      <c r="H34" s="441"/>
    </row>
    <row r="35" spans="1:8">
      <c r="A35" s="77" t="s">
        <v>1068</v>
      </c>
      <c r="B35" s="37" t="str">
        <f>Language!A744</f>
        <v>Date of specimen collection</v>
      </c>
      <c r="C35" s="27"/>
      <c r="F35" s="29">
        <f t="shared" si="4"/>
        <v>0</v>
      </c>
      <c r="G35" s="18" t="str">
        <f t="shared" si="5"/>
        <v>'</v>
      </c>
      <c r="H35" s="440"/>
    </row>
    <row r="36" spans="1:8">
      <c r="A36" s="77" t="s">
        <v>444</v>
      </c>
      <c r="B36" s="37" t="str">
        <f>Language!A745</f>
        <v>Time of specimen collection</v>
      </c>
      <c r="C36" s="27"/>
      <c r="F36" s="29">
        <f t="shared" si="4"/>
        <v>0</v>
      </c>
      <c r="G36" s="18" t="str">
        <f t="shared" si="5"/>
        <v>'</v>
      </c>
      <c r="H36" s="440"/>
    </row>
    <row r="37" spans="1:8">
      <c r="A37" s="77" t="s">
        <v>445</v>
      </c>
      <c r="B37" s="37" t="str">
        <f>Language!A746</f>
        <v>Date of specimen receipt</v>
      </c>
      <c r="C37" s="27"/>
      <c r="F37" s="29">
        <f t="shared" si="4"/>
        <v>0</v>
      </c>
      <c r="G37" s="18" t="str">
        <f t="shared" si="5"/>
        <v>'</v>
      </c>
      <c r="H37" s="440"/>
    </row>
    <row r="38" spans="1:8">
      <c r="A38" s="77" t="s">
        <v>446</v>
      </c>
      <c r="B38" s="37" t="str">
        <f>Language!A747</f>
        <v>Time of specimen receipt</v>
      </c>
      <c r="C38" s="27"/>
      <c r="F38" s="29">
        <f t="shared" si="4"/>
        <v>0</v>
      </c>
      <c r="G38" s="18" t="str">
        <f t="shared" si="5"/>
        <v>'</v>
      </c>
      <c r="H38" s="440"/>
    </row>
    <row r="39" spans="1:8">
      <c r="A39" s="77" t="s">
        <v>447</v>
      </c>
      <c r="B39" s="83" t="str">
        <f>Language!A748</f>
        <v>Test order (e.g., culture &amp; AST)</v>
      </c>
      <c r="C39" s="27"/>
      <c r="F39" s="29">
        <f t="shared" si="4"/>
        <v>0</v>
      </c>
      <c r="G39" s="18" t="str">
        <f t="shared" si="5"/>
        <v>'</v>
      </c>
      <c r="H39" s="441"/>
    </row>
    <row r="40" spans="1:8">
      <c r="A40" s="77" t="s">
        <v>448</v>
      </c>
      <c r="B40" s="37" t="str">
        <f>Language!A749</f>
        <v>Name of physician ordering the test</v>
      </c>
      <c r="C40" s="27"/>
      <c r="D40" s="103"/>
      <c r="E40" s="103"/>
      <c r="F40" s="29">
        <f t="shared" si="4"/>
        <v>0</v>
      </c>
      <c r="G40" s="18" t="str">
        <f t="shared" si="5"/>
        <v>'</v>
      </c>
      <c r="H40" s="429"/>
    </row>
    <row r="41" spans="1:8">
      <c r="A41" s="77" t="s">
        <v>449</v>
      </c>
      <c r="B41" s="37" t="str">
        <f>Language!A750</f>
        <v>Name or initials of person receiving specimen</v>
      </c>
      <c r="C41" s="27"/>
      <c r="F41" s="29">
        <f t="shared" si="4"/>
        <v>0</v>
      </c>
      <c r="G41" s="18" t="str">
        <f t="shared" si="5"/>
        <v>'</v>
      </c>
      <c r="H41" s="440"/>
    </row>
    <row r="42" spans="1:8" ht="16.2" thickBot="1">
      <c r="A42" s="10"/>
      <c r="B42" s="20"/>
      <c r="C42" s="22"/>
      <c r="F42" s="29"/>
      <c r="G42" s="18"/>
      <c r="H42" s="269"/>
    </row>
    <row r="43" spans="1:8" ht="16.2" thickBot="1">
      <c r="A43" s="166"/>
      <c r="B43" s="14" t="str">
        <f>Language!A751</f>
        <v>CULTURE OBSERVATIONS</v>
      </c>
      <c r="C43" s="47" t="str">
        <f>IF(COUNTBLANK(C46:C66)=21,"???",IF(COUNT(G46:G66)=0,"NA",AVERAGE(G46:G66)))</f>
        <v>???</v>
      </c>
      <c r="H43" s="432"/>
    </row>
    <row r="44" spans="1:8" ht="27.6" customHeight="1">
      <c r="A44" s="10"/>
      <c r="B44" s="131" t="str">
        <f>Language!A752</f>
        <v>The work card is where culture observations and biochemical test results are recorded. Work cards may be paper or electronic.</v>
      </c>
      <c r="C44" s="22"/>
    </row>
    <row r="45" spans="1:8" ht="27.6" customHeight="1">
      <c r="A45" s="10"/>
      <c r="B45" s="72" t="str">
        <f>Language!A753</f>
        <v>Review the workcard of a recently completed culture. Are the following elements recorded?</v>
      </c>
      <c r="C45" s="22"/>
      <c r="H45" s="267"/>
    </row>
    <row r="46" spans="1:8">
      <c r="A46" s="10"/>
      <c r="B46" s="37" t="str">
        <f>Language!A754</f>
        <v>Gram stain of specimen (e.g., sputum Gram stain)</v>
      </c>
      <c r="C46" s="22"/>
      <c r="H46" s="267"/>
    </row>
    <row r="47" spans="1:8">
      <c r="A47" s="77" t="s">
        <v>450</v>
      </c>
      <c r="B47" s="35" t="str">
        <f>Language!A755</f>
        <v>Quantity of Epithelial Cells per low power field</v>
      </c>
      <c r="C47" s="442"/>
      <c r="F47" s="23">
        <f t="shared" ref="F47:F60" si="6">C47</f>
        <v>0</v>
      </c>
      <c r="G47" s="18" t="str">
        <f t="shared" ref="G47:G59" si="7">IF(F47="Yes",1,IF(F47="No",0,"'"))</f>
        <v>'</v>
      </c>
      <c r="H47" s="430"/>
    </row>
    <row r="48" spans="1:8">
      <c r="A48" s="77" t="s">
        <v>451</v>
      </c>
      <c r="B48" s="35" t="str">
        <f>Language!A756</f>
        <v>Quantity of PMNs (WBCs) per low power field</v>
      </c>
      <c r="C48" s="442"/>
      <c r="F48" s="23">
        <f t="shared" si="6"/>
        <v>0</v>
      </c>
      <c r="G48" s="18" t="str">
        <f t="shared" si="7"/>
        <v>'</v>
      </c>
      <c r="H48" s="430"/>
    </row>
    <row r="49" spans="1:8">
      <c r="A49" s="77" t="s">
        <v>452</v>
      </c>
      <c r="B49" s="35" t="str">
        <f>Language!A757</f>
        <v>Quantity of bacterial cells per high power field</v>
      </c>
      <c r="C49" s="442"/>
      <c r="F49" s="23">
        <f t="shared" si="6"/>
        <v>0</v>
      </c>
      <c r="G49" s="18" t="str">
        <f t="shared" si="7"/>
        <v>'</v>
      </c>
      <c r="H49" s="430"/>
    </row>
    <row r="50" spans="1:8">
      <c r="A50" s="77" t="s">
        <v>453</v>
      </c>
      <c r="B50" s="35" t="str">
        <f>Language!A758</f>
        <v>Type of bacterial cells (gram-positive cocci, gram-negative bacilli, etc.)</v>
      </c>
      <c r="C50" s="442"/>
      <c r="F50" s="23">
        <f t="shared" si="6"/>
        <v>0</v>
      </c>
      <c r="G50" s="18" t="str">
        <f t="shared" si="7"/>
        <v>'</v>
      </c>
      <c r="H50" s="430"/>
    </row>
    <row r="51" spans="1:8" ht="27.6" customHeight="1">
      <c r="A51" s="77" t="s">
        <v>454</v>
      </c>
      <c r="B51" s="37" t="str">
        <f>Language!A759</f>
        <v>Description of colony morphologies (e.g. "mucoid lactose-fermenter" or "beta-hemolytic")</v>
      </c>
      <c r="C51" s="442"/>
      <c r="F51" s="23">
        <f t="shared" si="6"/>
        <v>0</v>
      </c>
      <c r="G51" s="18" t="str">
        <f t="shared" si="7"/>
        <v>'</v>
      </c>
      <c r="H51" s="430"/>
    </row>
    <row r="52" spans="1:8" ht="27.6" customHeight="1">
      <c r="A52" s="77" t="s">
        <v>455</v>
      </c>
      <c r="B52" s="37" t="str">
        <f>Language!A760</f>
        <v>Description of colony quantities (e.g. "1+, 2+, 3+, 4+" or "few, moderate, many")</v>
      </c>
      <c r="C52" s="442"/>
      <c r="F52" s="23">
        <f t="shared" si="6"/>
        <v>0</v>
      </c>
      <c r="G52" s="18" t="str">
        <f t="shared" si="7"/>
        <v>'</v>
      </c>
      <c r="H52" s="430"/>
    </row>
    <row r="53" spans="1:8">
      <c r="A53" s="77" t="s">
        <v>456</v>
      </c>
      <c r="B53" s="17" t="str">
        <f>Language!A761</f>
        <v>Gram stain of bacterial growth colonies (gram-positive cocci, gram-negative bacilli, etc.)</v>
      </c>
      <c r="C53" s="442"/>
      <c r="F53" s="23">
        <f t="shared" si="6"/>
        <v>0</v>
      </c>
      <c r="G53" s="18" t="str">
        <f t="shared" si="7"/>
        <v>'</v>
      </c>
      <c r="H53" s="430"/>
    </row>
    <row r="54" spans="1:8">
      <c r="A54" s="77" t="s">
        <v>457</v>
      </c>
      <c r="B54" s="37" t="str">
        <f>Language!A762</f>
        <v>Biochemical test results (e.g., "catalase positive") for conventional test methods</v>
      </c>
      <c r="C54" s="442"/>
      <c r="F54" s="23">
        <f t="shared" si="6"/>
        <v>0</v>
      </c>
      <c r="G54" s="18" t="str">
        <f t="shared" si="7"/>
        <v>'</v>
      </c>
      <c r="H54" s="430"/>
    </row>
    <row r="55" spans="1:8">
      <c r="A55" s="77" t="s">
        <v>458</v>
      </c>
      <c r="B55" s="83" t="str">
        <f>Language!A763</f>
        <v>AST Method used for each antibiotic (e.g., Disk, Etest, Instrument)</v>
      </c>
      <c r="C55" s="442"/>
      <c r="F55" s="23">
        <f t="shared" si="6"/>
        <v>0</v>
      </c>
      <c r="G55" s="18" t="str">
        <f t="shared" si="7"/>
        <v>'</v>
      </c>
      <c r="H55" s="430"/>
    </row>
    <row r="56" spans="1:8">
      <c r="A56" s="77" t="s">
        <v>459</v>
      </c>
      <c r="B56" s="37" t="str">
        <f>Language!A764</f>
        <v>Disk diffusion zone sizes</v>
      </c>
      <c r="C56" s="442"/>
      <c r="F56" s="23">
        <f t="shared" si="6"/>
        <v>0</v>
      </c>
      <c r="G56" s="18" t="str">
        <f t="shared" si="7"/>
        <v>'</v>
      </c>
      <c r="H56" s="430"/>
    </row>
    <row r="57" spans="1:8">
      <c r="A57" s="77" t="s">
        <v>460</v>
      </c>
      <c r="B57" s="37" t="str">
        <f>Language!A765</f>
        <v>Disk diffusion interpretation (S/I/R)</v>
      </c>
      <c r="C57" s="442"/>
      <c r="F57" s="23">
        <f t="shared" si="6"/>
        <v>0</v>
      </c>
      <c r="G57" s="18" t="str">
        <f t="shared" si="7"/>
        <v>'</v>
      </c>
      <c r="H57" s="430"/>
    </row>
    <row r="58" spans="1:8">
      <c r="A58" s="77" t="s">
        <v>1069</v>
      </c>
      <c r="B58" s="37" t="str">
        <f>Language!A766</f>
        <v>MIC values</v>
      </c>
      <c r="C58" s="442"/>
      <c r="F58" s="23">
        <f t="shared" si="6"/>
        <v>0</v>
      </c>
      <c r="G58" s="18" t="str">
        <f t="shared" si="7"/>
        <v>'</v>
      </c>
      <c r="H58" s="430"/>
    </row>
    <row r="59" spans="1:8">
      <c r="A59" s="77" t="s">
        <v>1070</v>
      </c>
      <c r="B59" s="37" t="str">
        <f>Language!A767</f>
        <v>MIC interpretation (S/I/R)</v>
      </c>
      <c r="C59" s="442"/>
      <c r="F59" s="23">
        <f t="shared" si="6"/>
        <v>0</v>
      </c>
      <c r="G59" s="18" t="str">
        <f t="shared" si="7"/>
        <v>'</v>
      </c>
      <c r="H59" s="430"/>
    </row>
    <row r="60" spans="1:8">
      <c r="A60" s="77" t="s">
        <v>1071</v>
      </c>
      <c r="B60" s="20" t="str">
        <f>Language!A768</f>
        <v>Describe the laboratory’s system for recording culture observations</v>
      </c>
      <c r="C60" s="442"/>
      <c r="F60" s="23">
        <f t="shared" si="6"/>
        <v>0</v>
      </c>
      <c r="G60" s="18" t="str">
        <f>IF(F60=1,1,IF(F60=2,0.5,IF(F60=3,0.5,IF(F60=4,0.5,IF(F60=5,0,"'")))))</f>
        <v>'</v>
      </c>
      <c r="H60" s="429"/>
    </row>
    <row r="61" spans="1:8">
      <c r="A61" s="10"/>
      <c r="B61" s="465" t="str">
        <f>Language!A769</f>
        <v>1: Laboratory Information System (LIS)</v>
      </c>
    </row>
    <row r="62" spans="1:8">
      <c r="A62" s="10"/>
      <c r="B62" s="465" t="str">
        <f>Language!A770</f>
        <v>2: Fully electronic, but non-LIS (e.g., Word, Excel)</v>
      </c>
    </row>
    <row r="63" spans="1:8">
      <c r="A63" s="10"/>
      <c r="B63" s="465" t="str">
        <f>Language!A771</f>
        <v>3: Handwritten on a paper work card (e.g., the back of the specimen requisition) or in a logbook</v>
      </c>
    </row>
    <row r="64" spans="1:8">
      <c r="A64" s="10"/>
      <c r="B64" s="465" t="str">
        <f>Language!A772</f>
        <v>4: Combination of handwritten and electronic recording</v>
      </c>
    </row>
    <row r="65" spans="1:10">
      <c r="A65" s="10"/>
      <c r="B65" s="465" t="str">
        <f>Language!A773</f>
        <v>5: Internal results are not routinely recorded</v>
      </c>
      <c r="J65" s="521"/>
    </row>
    <row r="66" spans="1:10" ht="27.6" customHeight="1">
      <c r="A66" s="240" t="s">
        <v>1834</v>
      </c>
      <c r="B66" s="20" t="str">
        <f>Language!A774</f>
        <v>Are culture observations/work cards retained for a defined time period (at least one year)?</v>
      </c>
      <c r="C66" s="442"/>
      <c r="F66" s="23">
        <f>C66</f>
        <v>0</v>
      </c>
      <c r="G66" s="18" t="str">
        <f t="shared" ref="G66" si="8">IF(F66="Yes",1,IF(F66="No",0,"'"))</f>
        <v>'</v>
      </c>
      <c r="H66" s="430"/>
      <c r="J66" s="521"/>
    </row>
    <row r="67" spans="1:10" ht="16.2" thickBot="1">
      <c r="A67" s="10"/>
      <c r="B67" s="8"/>
      <c r="F67" s="23"/>
      <c r="G67" s="18"/>
    </row>
    <row r="68" spans="1:10" ht="16.2" thickBot="1">
      <c r="A68" s="166"/>
      <c r="B68" s="76" t="str">
        <f>Language!A775</f>
        <v>AST RESULTS REPORTING</v>
      </c>
      <c r="C68" s="47" t="str">
        <f>IF(COUNTBLANK(C69:C78)=10,"???",IF(COUNT(G69:G78)=0,"NA",AVERAGE(G69:G78)))</f>
        <v>???</v>
      </c>
      <c r="E68" s="20"/>
      <c r="F68" s="20"/>
      <c r="G68" s="20"/>
      <c r="H68" s="432"/>
      <c r="I68" s="20"/>
    </row>
    <row r="69" spans="1:10">
      <c r="A69" s="77" t="s">
        <v>1835</v>
      </c>
      <c r="B69" s="8" t="str">
        <f>Language!A776</f>
        <v>Describe the laboratory’s system for reporting AST results to the physician/client</v>
      </c>
      <c r="C69" s="442"/>
      <c r="F69" s="23">
        <f>C69</f>
        <v>0</v>
      </c>
      <c r="G69" s="18" t="str">
        <f>IF(F69=1,1,IF(F69=2,0.75,IF(F69=3,0.5,"'")))</f>
        <v>'</v>
      </c>
      <c r="H69" s="429"/>
    </row>
    <row r="70" spans="1:10">
      <c r="A70" s="10"/>
      <c r="B70" s="465" t="str">
        <f>Language!A777</f>
        <v>1: Fully electronic system – physician does not receive a paper report from the lab</v>
      </c>
      <c r="H70" s="429"/>
    </row>
    <row r="71" spans="1:10">
      <c r="A71" s="10"/>
      <c r="B71" s="465" t="str">
        <f>Language!A778</f>
        <v>2: Combination of paper and electronic reporting</v>
      </c>
      <c r="H71" s="429"/>
    </row>
    <row r="72" spans="1:10">
      <c r="A72" s="10"/>
      <c r="B72" s="465" t="str">
        <f>Language!A779</f>
        <v>3: Fully paper-based system</v>
      </c>
      <c r="H72" s="429"/>
    </row>
    <row r="73" spans="1:10" ht="27.6" customHeight="1">
      <c r="A73" s="77" t="s">
        <v>1836</v>
      </c>
      <c r="B73" s="8" t="str">
        <f>Language!A780</f>
        <v>If AST results are fully or partially issued to physicians on paper, please describe that system.</v>
      </c>
      <c r="C73" s="442"/>
      <c r="F73" s="23">
        <f>C73</f>
        <v>0</v>
      </c>
      <c r="G73" s="18" t="str">
        <f>IF(F73=1,1,IF(F73=2,0.5,IF(F73=3,0.5,"'")))</f>
        <v>'</v>
      </c>
      <c r="H73" s="429"/>
    </row>
    <row r="74" spans="1:10">
      <c r="A74" s="10"/>
      <c r="B74" s="465" t="str">
        <f>Language!A781</f>
        <v>1: Printout from the Laboratory Information System</v>
      </c>
      <c r="H74" s="429"/>
    </row>
    <row r="75" spans="1:10">
      <c r="A75" s="10"/>
      <c r="B75" s="465" t="str">
        <f>Language!A782</f>
        <v>2: Printout from the ID/AST instrument (e.g., Vitek, Phoenix, etc.)</v>
      </c>
      <c r="H75" s="429"/>
    </row>
    <row r="76" spans="1:10">
      <c r="A76" s="10"/>
      <c r="B76" s="465" t="str">
        <f>Language!A783</f>
        <v>3: Printout from a non-LIS computer program (e.g., Word, Excel)</v>
      </c>
      <c r="H76" s="429"/>
    </row>
    <row r="77" spans="1:10">
      <c r="A77" s="10"/>
      <c r="B77" s="465" t="str">
        <f>Language!A784</f>
        <v>4: Primarily hand-written onto a paper form</v>
      </c>
      <c r="C77" s="20"/>
      <c r="E77" s="20"/>
      <c r="F77" s="20"/>
      <c r="G77" s="20"/>
      <c r="H77" s="429"/>
      <c r="I77" s="20"/>
    </row>
    <row r="78" spans="1:10">
      <c r="A78" s="77" t="s">
        <v>1837</v>
      </c>
      <c r="B78" s="20" t="str">
        <f>Language!A785</f>
        <v>Are AST reports retained for a defined time period (at least one year)?</v>
      </c>
      <c r="C78" s="442"/>
      <c r="F78" s="23">
        <f>C78</f>
        <v>0</v>
      </c>
      <c r="G78" s="18" t="str">
        <f t="shared" ref="G78" si="9">IF(F78="Yes",1,IF(F78="No",0,"'"))</f>
        <v>'</v>
      </c>
      <c r="H78" s="429"/>
      <c r="I78" s="20"/>
    </row>
    <row r="79" spans="1:10" ht="16.2" thickBot="1">
      <c r="A79" s="10"/>
      <c r="B79" s="48"/>
      <c r="C79" s="20"/>
      <c r="E79" s="20"/>
      <c r="F79" s="20"/>
      <c r="G79" s="20"/>
      <c r="I79" s="20"/>
    </row>
    <row r="80" spans="1:10" ht="16.2" thickBot="1">
      <c r="A80" s="166"/>
      <c r="B80" s="76" t="str">
        <f>Language!A786</f>
        <v>DATA BACKUP &amp; SECURITY</v>
      </c>
      <c r="C80" s="47" t="str">
        <f>IF(COUNTBLANK(C81:C88)=8,"???",IF(COUNT(G81:G88)=0,"NA",AVERAGE(G81:G88)))</f>
        <v>???</v>
      </c>
      <c r="E80" s="20"/>
      <c r="F80" s="20"/>
      <c r="G80" s="20"/>
      <c r="H80" s="432"/>
      <c r="I80" s="20"/>
    </row>
    <row r="81" spans="1:9" ht="27.6" customHeight="1">
      <c r="A81" s="77" t="s">
        <v>1838</v>
      </c>
      <c r="B81" s="8" t="str">
        <f>Language!A787</f>
        <v xml:space="preserve">What method is used to back up the lab’s electronic patient records? </v>
      </c>
      <c r="C81" s="442"/>
      <c r="F81" s="23">
        <f>C81</f>
        <v>0</v>
      </c>
      <c r="G81" s="18" t="str">
        <f>IF(F81=1,1,IF(F81=2,0.5,IF(F81="NA","'",IF(F81=0,"'",0))))</f>
        <v>'</v>
      </c>
      <c r="H81" s="429"/>
      <c r="I81" s="186" t="str">
        <f>IF(F81=3,"Red Flag",IF(F81=4,"Red Flag","'"))</f>
        <v>'</v>
      </c>
    </row>
    <row r="82" spans="1:9" ht="27.6" customHeight="1">
      <c r="A82" s="10"/>
      <c r="B82" s="465" t="str">
        <f>Language!A788</f>
        <v>1: Facility or cloud server - 2: External hard drive, USB, or CD - 3: Internal hard drive (PC or laptop) - 4: None - NA: do not use an electronic database for patient records</v>
      </c>
    </row>
    <row r="83" spans="1:9">
      <c r="A83" s="77" t="s">
        <v>1839</v>
      </c>
      <c r="B83" s="8" t="str">
        <f>Language!A789</f>
        <v>How frequently are the lab’s electronic records backed up?</v>
      </c>
      <c r="C83" s="442"/>
      <c r="F83" s="23">
        <f>C83</f>
        <v>0</v>
      </c>
      <c r="G83" s="18" t="str">
        <f>IF(F83=1,1,IF(F83=2,0.5,IF(F83=3,0,"'")))</f>
        <v>'</v>
      </c>
      <c r="H83" s="429"/>
    </row>
    <row r="84" spans="1:9" ht="27.6" customHeight="1">
      <c r="A84" s="10"/>
      <c r="B84" s="465" t="str">
        <f>Language!A790</f>
        <v>1: Daily/Continuously - 2: Other frequency, specify in comments - 3: Never - NA: no electronic database</v>
      </c>
    </row>
    <row r="85" spans="1:9" ht="27.6" customHeight="1">
      <c r="A85" s="77" t="s">
        <v>1840</v>
      </c>
      <c r="B85" s="8" t="str">
        <f>Language!A791</f>
        <v>Does the lab or facility have a policy and/or SOP on data backup and restoration?</v>
      </c>
      <c r="C85" s="442"/>
      <c r="F85" s="23">
        <f>C85</f>
        <v>0</v>
      </c>
      <c r="G85" s="18" t="str">
        <f t="shared" ref="G85:G88" si="10">IF(F85="Yes",1,IF(F85="No",0,"'"))</f>
        <v>'</v>
      </c>
      <c r="H85" s="429"/>
    </row>
    <row r="86" spans="1:9" ht="27.6" customHeight="1">
      <c r="A86" s="77" t="s">
        <v>2247</v>
      </c>
      <c r="B86" s="8" t="str">
        <f>Language!A792</f>
        <v>Does the lab or facility have a policy and/or SOP on data security and confidentiality?</v>
      </c>
      <c r="C86" s="442"/>
      <c r="F86" s="23">
        <f>C86</f>
        <v>0</v>
      </c>
      <c r="G86" s="18" t="str">
        <f t="shared" si="10"/>
        <v>'</v>
      </c>
      <c r="H86" s="429"/>
    </row>
    <row r="87" spans="1:9">
      <c r="A87" s="77" t="s">
        <v>1841</v>
      </c>
      <c r="B87" s="72" t="str">
        <f>Language!A793</f>
        <v>Do laboratory computers have antivirus software?</v>
      </c>
      <c r="C87" s="442"/>
      <c r="F87" s="23">
        <f>C87</f>
        <v>0</v>
      </c>
      <c r="G87" s="18" t="str">
        <f t="shared" si="10"/>
        <v>'</v>
      </c>
      <c r="H87" s="429"/>
      <c r="I87" s="18" t="str">
        <f>IF(C87="No","System Flag","")</f>
        <v/>
      </c>
    </row>
    <row r="88" spans="1:9">
      <c r="A88" s="77" t="s">
        <v>1842</v>
      </c>
      <c r="B88" s="72" t="str">
        <f>Language!A794</f>
        <v>Do laboratory computers have genuine (not pirated) Operating Systems?</v>
      </c>
      <c r="C88" s="442"/>
      <c r="F88" s="23">
        <f>C88</f>
        <v>0</v>
      </c>
      <c r="G88" s="18" t="str">
        <f t="shared" si="10"/>
        <v>'</v>
      </c>
      <c r="H88" s="429"/>
      <c r="I88" s="18" t="str">
        <f>IF(C88="No","System Flag","'")</f>
        <v>'</v>
      </c>
    </row>
    <row r="89" spans="1:9" ht="16.2" thickBot="1">
      <c r="A89" s="10"/>
      <c r="B89" s="522"/>
      <c r="C89" s="20"/>
      <c r="E89" s="20"/>
      <c r="F89" s="20"/>
      <c r="G89" s="20"/>
      <c r="I89" s="20"/>
    </row>
    <row r="90" spans="1:9" ht="16.2" thickBot="1">
      <c r="A90" s="166"/>
      <c r="B90" s="76" t="str">
        <f>Language!A795</f>
        <v xml:space="preserve">AMR DATA SHARING </v>
      </c>
      <c r="C90" s="44" t="str">
        <f>IF(COUNTBLANK(C91:C113)=23,"???",IF(COUNT(G91:G113)=0,"NA",AVERAGE(G91:G113)))</f>
        <v>???</v>
      </c>
      <c r="E90" s="13"/>
      <c r="F90" s="28"/>
      <c r="G90" s="20"/>
      <c r="H90" s="432"/>
    </row>
    <row r="91" spans="1:9">
      <c r="A91" s="10"/>
      <c r="B91" s="20" t="str">
        <f>Language!A796</f>
        <v>Is the laboratory currently a member of any AMR Surveillance Systems?</v>
      </c>
    </row>
    <row r="92" spans="1:9">
      <c r="A92" s="120" t="s">
        <v>1843</v>
      </c>
      <c r="B92" s="37" t="str">
        <f>Language!A797</f>
        <v>WHO GLASS (Global Antimicrobial Resistance Surveillance System)</v>
      </c>
      <c r="C92" s="442"/>
      <c r="F92" s="23">
        <f>C92</f>
        <v>0</v>
      </c>
      <c r="H92" s="430"/>
    </row>
    <row r="93" spans="1:9">
      <c r="A93" s="120" t="s">
        <v>1844</v>
      </c>
      <c r="B93" s="37" t="str">
        <f>Language!A798</f>
        <v>Other, please describe in comments</v>
      </c>
      <c r="C93" s="442"/>
      <c r="F93" s="23">
        <f>C93</f>
        <v>0</v>
      </c>
      <c r="H93" s="430"/>
    </row>
    <row r="94" spans="1:9" ht="27.6" customHeight="1">
      <c r="A94" s="10"/>
      <c r="B94" s="20" t="str">
        <f>Language!A799</f>
        <v>Which of the following methods are currently used to submit data to the AMR surveillance network(s)?</v>
      </c>
    </row>
    <row r="95" spans="1:9" ht="27.6" customHeight="1">
      <c r="A95" s="10"/>
      <c r="B95" s="465" t="str">
        <f>Language!A800</f>
        <v>More than one may be used. If the lab does not currently participate in AMR surveillance, select NA</v>
      </c>
      <c r="C95" s="22"/>
      <c r="H95" s="267"/>
    </row>
    <row r="96" spans="1:9">
      <c r="A96" s="77" t="s">
        <v>1845</v>
      </c>
      <c r="B96" s="37" t="str">
        <f>Language!A801</f>
        <v>Lab sends paper forms to an AMR coordinator</v>
      </c>
      <c r="C96" s="442"/>
      <c r="F96" s="23">
        <f t="shared" ref="F96:F101" si="11">C96</f>
        <v>0</v>
      </c>
      <c r="G96" s="18" t="str">
        <f>IF(F96="Yes",0.25,"'")</f>
        <v>'</v>
      </c>
      <c r="H96" s="430"/>
    </row>
    <row r="97" spans="1:8">
      <c r="A97" s="77" t="s">
        <v>1846</v>
      </c>
      <c r="B97" s="37" t="str">
        <f>Language!A802</f>
        <v>Lab types data into an Excel spreadsheet</v>
      </c>
      <c r="C97" s="442"/>
      <c r="F97" s="23">
        <f t="shared" si="11"/>
        <v>0</v>
      </c>
      <c r="G97" s="18" t="str">
        <f>IF(F97="Yes",0.5,"'")</f>
        <v>'</v>
      </c>
      <c r="H97" s="430"/>
    </row>
    <row r="98" spans="1:8">
      <c r="A98" s="77" t="s">
        <v>2251</v>
      </c>
      <c r="B98" s="37" t="str">
        <f>Language!A803</f>
        <v>Lab types data into an online database</v>
      </c>
      <c r="C98" s="442"/>
      <c r="F98" s="23">
        <f t="shared" si="11"/>
        <v>0</v>
      </c>
      <c r="G98" s="18" t="str">
        <f>IF(F98="Yes",0.5,"'")</f>
        <v>'</v>
      </c>
      <c r="H98" s="430"/>
    </row>
    <row r="99" spans="1:8">
      <c r="A99" s="77" t="s">
        <v>2252</v>
      </c>
      <c r="B99" s="37" t="str">
        <f>Language!A804</f>
        <v>Lab types data into WHONET</v>
      </c>
      <c r="C99" s="442"/>
      <c r="F99" s="23">
        <f t="shared" si="11"/>
        <v>0</v>
      </c>
      <c r="G99" s="18" t="str">
        <f>IF(F99="Yes",0.75,"'")</f>
        <v>'</v>
      </c>
      <c r="H99" s="430"/>
    </row>
    <row r="100" spans="1:8">
      <c r="A100" s="77" t="s">
        <v>2253</v>
      </c>
      <c r="B100" s="37" t="str">
        <f>Language!A805</f>
        <v>Lab exports a file from the automated AST instrument</v>
      </c>
      <c r="C100" s="442"/>
      <c r="F100" s="23">
        <f t="shared" si="11"/>
        <v>0</v>
      </c>
      <c r="G100" s="18" t="str">
        <f>IF(F100="Yes",0.75,"'")</f>
        <v>'</v>
      </c>
      <c r="H100" s="430"/>
    </row>
    <row r="101" spans="1:8">
      <c r="A101" s="77" t="s">
        <v>2254</v>
      </c>
      <c r="B101" s="37" t="str">
        <f>Language!A806</f>
        <v>Lab exports a file from the LIS</v>
      </c>
      <c r="C101" s="442"/>
      <c r="F101" s="23">
        <f t="shared" si="11"/>
        <v>0</v>
      </c>
      <c r="G101" s="18" t="str">
        <f t="shared" ref="G101" si="12">IF(F101="Yes",1,IF(F101="No",0,"'"))</f>
        <v>'</v>
      </c>
      <c r="H101" s="430"/>
    </row>
    <row r="102" spans="1:8" ht="27.6" customHeight="1">
      <c r="A102" s="77"/>
      <c r="B102" s="8" t="str">
        <f>Language!A807</f>
        <v>If the lab has ever tried to use BacLink to transfer data from the LIS into WHONET, were any of the following problems encountered?</v>
      </c>
      <c r="C102" s="22"/>
      <c r="H102" s="267"/>
    </row>
    <row r="103" spans="1:8">
      <c r="A103" s="77" t="s">
        <v>2255</v>
      </c>
      <c r="B103" s="37" t="str">
        <f>Language!A808</f>
        <v>The LIS export file was missing some of the required data fields</v>
      </c>
      <c r="C103" s="442"/>
      <c r="F103" s="23">
        <f>C103</f>
        <v>0</v>
      </c>
      <c r="G103" s="18" t="str">
        <f>IF(F103="No",1,IF(F103="Yes",0,"'"))</f>
        <v>'</v>
      </c>
      <c r="H103" s="430"/>
    </row>
    <row r="104" spans="1:8">
      <c r="A104" s="77" t="s">
        <v>2256</v>
      </c>
      <c r="B104" s="37" t="str">
        <f>Language!A809</f>
        <v xml:space="preserve">The LIS export file merged/combined different data fields into a single column </v>
      </c>
      <c r="C104" s="442"/>
      <c r="F104" s="23">
        <f>C104</f>
        <v>0</v>
      </c>
      <c r="G104" s="18" t="str">
        <f t="shared" ref="G104:G107" si="13">IF(F104="No",1,IF(F104="Yes",0,"'"))</f>
        <v>'</v>
      </c>
      <c r="H104" s="430"/>
    </row>
    <row r="105" spans="1:8">
      <c r="A105" s="77" t="s">
        <v>2257</v>
      </c>
      <c r="B105" s="37" t="str">
        <f>Language!A810</f>
        <v>The LIS export file does not distinguish antibiotic results by AST method</v>
      </c>
      <c r="C105" s="442"/>
      <c r="F105" s="23">
        <f>C105</f>
        <v>0</v>
      </c>
      <c r="G105" s="18" t="str">
        <f t="shared" si="13"/>
        <v>'</v>
      </c>
      <c r="H105" s="430"/>
    </row>
    <row r="106" spans="1:8">
      <c r="A106" s="77" t="s">
        <v>2258</v>
      </c>
      <c r="B106" s="37" t="str">
        <f>Language!A811</f>
        <v>The LIS export file does not contain zone sizes or MIC values</v>
      </c>
      <c r="C106" s="442"/>
      <c r="F106" s="23">
        <f>C106</f>
        <v>0</v>
      </c>
      <c r="G106" s="18" t="str">
        <f t="shared" si="13"/>
        <v>'</v>
      </c>
      <c r="H106" s="430"/>
    </row>
    <row r="107" spans="1:8">
      <c r="A107" s="77" t="s">
        <v>2263</v>
      </c>
      <c r="B107" s="37" t="str">
        <f>Language!A812</f>
        <v>Other, please describe in comments</v>
      </c>
      <c r="C107" s="442"/>
      <c r="F107" s="23">
        <f>C107</f>
        <v>0</v>
      </c>
      <c r="G107" s="18" t="str">
        <f t="shared" si="13"/>
        <v>'</v>
      </c>
      <c r="H107" s="430"/>
    </row>
    <row r="108" spans="1:8" ht="27.6" customHeight="1">
      <c r="A108" s="77"/>
      <c r="B108" s="8" t="str">
        <f>Language!A813</f>
        <v>If the lab has ever tried to use BacLink to transfer data from the automated AST instrument into WHONET, were any of the following problems encountered?</v>
      </c>
      <c r="C108" s="22"/>
    </row>
    <row r="109" spans="1:8" ht="27.6" customHeight="1">
      <c r="A109" s="77" t="s">
        <v>2264</v>
      </c>
      <c r="B109" s="37" t="str">
        <f>Language!A814</f>
        <v>The instrument export file was missing some of the required data fields (like patient demographics)</v>
      </c>
      <c r="C109" s="442"/>
      <c r="F109" s="23">
        <f>C109</f>
        <v>0</v>
      </c>
      <c r="G109" s="18" t="str">
        <f>IF(F109="No",1,IF(F109="Yes",0,"'"))</f>
        <v>'</v>
      </c>
      <c r="H109" s="430"/>
    </row>
    <row r="110" spans="1:8" ht="27.6" customHeight="1">
      <c r="A110" s="77" t="s">
        <v>2265</v>
      </c>
      <c r="B110" s="37" t="str">
        <f>Language!A815</f>
        <v xml:space="preserve">The instrument export file merged/combined different data fields into a single column </v>
      </c>
      <c r="C110" s="442"/>
      <c r="F110" s="23">
        <f>C110</f>
        <v>0</v>
      </c>
      <c r="G110" s="18" t="str">
        <f t="shared" ref="G110:G113" si="14">IF(F110="No",1,IF(F110="Yes",0,"'"))</f>
        <v>'</v>
      </c>
      <c r="H110" s="430"/>
    </row>
    <row r="111" spans="1:8">
      <c r="A111" s="77" t="s">
        <v>2266</v>
      </c>
      <c r="B111" s="37" t="str">
        <f>Language!A816</f>
        <v>The instrument export file was missing MIC values</v>
      </c>
      <c r="C111" s="442"/>
      <c r="F111" s="23">
        <f>C111</f>
        <v>0</v>
      </c>
      <c r="G111" s="18" t="str">
        <f t="shared" si="14"/>
        <v>'</v>
      </c>
      <c r="H111" s="430"/>
    </row>
    <row r="112" spans="1:8">
      <c r="A112" s="77" t="s">
        <v>2267</v>
      </c>
      <c r="B112" s="37" t="str">
        <f>Language!A817</f>
        <v>The instrument export file was missing SIR values</v>
      </c>
      <c r="C112" s="442"/>
      <c r="F112" s="23">
        <f>C112</f>
        <v>0</v>
      </c>
      <c r="G112" s="18" t="str">
        <f t="shared" si="14"/>
        <v>'</v>
      </c>
      <c r="H112" s="430"/>
    </row>
    <row r="113" spans="1:8">
      <c r="A113" s="77" t="s">
        <v>2268</v>
      </c>
      <c r="B113" s="37" t="str">
        <f>Language!A818</f>
        <v>Other, please describe in comments</v>
      </c>
      <c r="C113" s="442"/>
      <c r="F113" s="23">
        <f>C113</f>
        <v>0</v>
      </c>
      <c r="G113" s="18" t="str">
        <f t="shared" si="14"/>
        <v>'</v>
      </c>
      <c r="H113" s="430"/>
    </row>
  </sheetData>
  <sheetProtection algorithmName="SHA-256" hashValue="7QW9uAPnt6ffWHTUKwtmw6D13fSKJHVG8/XNOhzsqSQ=" saltValue="1Z2K9WEurriRfiNvH6aZRg==" spinCount="100000" sheet="1" selectLockedCells="1"/>
  <dataConsolidate/>
  <phoneticPr fontId="46" type="noConversion"/>
  <conditionalFormatting sqref="G67">
    <cfRule type="cellIs" dxfId="1794" priority="345" stopIfTrue="1" operator="lessThan">
      <formula>0.5</formula>
    </cfRule>
    <cfRule type="cellIs" dxfId="1793" priority="346" stopIfTrue="1" operator="between">
      <formula>0.5</formula>
      <formula>0.75</formula>
    </cfRule>
    <cfRule type="cellIs" dxfId="1792" priority="347" stopIfTrue="1" operator="greaterThan">
      <formula>0.75</formula>
    </cfRule>
  </conditionalFormatting>
  <conditionalFormatting sqref="C4">
    <cfRule type="cellIs" dxfId="1791" priority="336" stopIfTrue="1" operator="greaterThanOrEqual">
      <formula>0.8</formula>
    </cfRule>
    <cfRule type="cellIs" dxfId="1790" priority="337" stopIfTrue="1" operator="between">
      <formula>0.5</formula>
      <formula>0.799</formula>
    </cfRule>
    <cfRule type="cellIs" dxfId="1789" priority="338" stopIfTrue="1" operator="lessThan">
      <formula>0.5</formula>
    </cfRule>
  </conditionalFormatting>
  <conditionalFormatting sqref="G60">
    <cfRule type="cellIs" dxfId="1788" priority="330" stopIfTrue="1" operator="lessThan">
      <formula>0.5</formula>
    </cfRule>
    <cfRule type="cellIs" dxfId="1787" priority="331" stopIfTrue="1" operator="between">
      <formula>0.5</formula>
      <formula>0.75</formula>
    </cfRule>
    <cfRule type="cellIs" dxfId="1786" priority="332" stopIfTrue="1" operator="greaterThan">
      <formula>0.75</formula>
    </cfRule>
  </conditionalFormatting>
  <conditionalFormatting sqref="G69">
    <cfRule type="cellIs" dxfId="1785" priority="327" stopIfTrue="1" operator="lessThan">
      <formula>0.5</formula>
    </cfRule>
    <cfRule type="cellIs" dxfId="1784" priority="328" stopIfTrue="1" operator="between">
      <formula>0.5</formula>
      <formula>0.75</formula>
    </cfRule>
    <cfRule type="cellIs" dxfId="1783" priority="329" stopIfTrue="1" operator="greaterThan">
      <formula>0.75</formula>
    </cfRule>
  </conditionalFormatting>
  <conditionalFormatting sqref="G83">
    <cfRule type="cellIs" dxfId="1782" priority="324" stopIfTrue="1" operator="lessThan">
      <formula>0.5</formula>
    </cfRule>
    <cfRule type="cellIs" dxfId="1781" priority="325" stopIfTrue="1" operator="between">
      <formula>0.5</formula>
      <formula>0.75</formula>
    </cfRule>
    <cfRule type="cellIs" dxfId="1780" priority="326" stopIfTrue="1" operator="greaterThan">
      <formula>0.75</formula>
    </cfRule>
  </conditionalFormatting>
  <conditionalFormatting sqref="G73">
    <cfRule type="cellIs" dxfId="1779" priority="321" stopIfTrue="1" operator="lessThan">
      <formula>0.5</formula>
    </cfRule>
    <cfRule type="cellIs" dxfId="1778" priority="322" stopIfTrue="1" operator="between">
      <formula>0.5</formula>
      <formula>0.75</formula>
    </cfRule>
    <cfRule type="cellIs" dxfId="1777" priority="323" stopIfTrue="1" operator="greaterThan">
      <formula>0.75</formula>
    </cfRule>
  </conditionalFormatting>
  <conditionalFormatting sqref="G12">
    <cfRule type="cellIs" dxfId="1776" priority="231" stopIfTrue="1" operator="lessThan">
      <formula>0.5</formula>
    </cfRule>
    <cfRule type="cellIs" dxfId="1775" priority="232" stopIfTrue="1" operator="between">
      <formula>0.5</formula>
      <formula>0.75</formula>
    </cfRule>
    <cfRule type="cellIs" dxfId="1774" priority="233" stopIfTrue="1" operator="greaterThan">
      <formula>0.75</formula>
    </cfRule>
  </conditionalFormatting>
  <conditionalFormatting sqref="C43">
    <cfRule type="cellIs" dxfId="1773" priority="202" stopIfTrue="1" operator="greaterThanOrEqual">
      <formula>0.8</formula>
    </cfRule>
    <cfRule type="cellIs" dxfId="1772" priority="203" stopIfTrue="1" operator="between">
      <formula>0.5</formula>
      <formula>0.799</formula>
    </cfRule>
    <cfRule type="cellIs" dxfId="1771" priority="204" stopIfTrue="1" operator="lessThan">
      <formula>0.5</formula>
    </cfRule>
  </conditionalFormatting>
  <conditionalFormatting sqref="C68">
    <cfRule type="cellIs" dxfId="1770" priority="196" stopIfTrue="1" operator="greaterThanOrEqual">
      <formula>0.8</formula>
    </cfRule>
    <cfRule type="cellIs" dxfId="1769" priority="197" stopIfTrue="1" operator="between">
      <formula>0.5</formula>
      <formula>0.799</formula>
    </cfRule>
    <cfRule type="cellIs" dxfId="1768" priority="198" stopIfTrue="1" operator="lessThan">
      <formula>0.5</formula>
    </cfRule>
  </conditionalFormatting>
  <conditionalFormatting sqref="C80">
    <cfRule type="cellIs" dxfId="1767" priority="193" stopIfTrue="1" operator="greaterThanOrEqual">
      <formula>0.8</formula>
    </cfRule>
    <cfRule type="cellIs" dxfId="1766" priority="194" stopIfTrue="1" operator="between">
      <formula>0.5</formula>
      <formula>0.799</formula>
    </cfRule>
    <cfRule type="cellIs" dxfId="1765" priority="195" stopIfTrue="1" operator="lessThan">
      <formula>0.5</formula>
    </cfRule>
  </conditionalFormatting>
  <conditionalFormatting sqref="C13">
    <cfRule type="cellIs" dxfId="1764" priority="177" stopIfTrue="1" operator="greaterThanOrEqual">
      <formula>0.8</formula>
    </cfRule>
    <cfRule type="cellIs" dxfId="1763" priority="178" stopIfTrue="1" operator="between">
      <formula>0.5</formula>
      <formula>0.799</formula>
    </cfRule>
    <cfRule type="cellIs" dxfId="1762" priority="179" stopIfTrue="1" operator="lessThan">
      <formula>0.5</formula>
    </cfRule>
  </conditionalFormatting>
  <conditionalFormatting sqref="G28">
    <cfRule type="cellIs" dxfId="1761" priority="171" stopIfTrue="1" operator="lessThan">
      <formula>0.5</formula>
    </cfRule>
    <cfRule type="cellIs" dxfId="1760" priority="172" stopIfTrue="1" operator="between">
      <formula>0.5</formula>
      <formula>0.75</formula>
    </cfRule>
    <cfRule type="cellIs" dxfId="1759" priority="173" stopIfTrue="1" operator="greaterThan">
      <formula>0.75</formula>
    </cfRule>
  </conditionalFormatting>
  <conditionalFormatting sqref="G42">
    <cfRule type="cellIs" dxfId="1758" priority="144" stopIfTrue="1" operator="lessThan">
      <formula>0.5</formula>
    </cfRule>
    <cfRule type="cellIs" dxfId="1757" priority="145" stopIfTrue="1" operator="between">
      <formula>0.5</formula>
      <formula>0.75</formula>
    </cfRule>
    <cfRule type="cellIs" dxfId="1756" priority="146" stopIfTrue="1" operator="greaterThan">
      <formula>0.75</formula>
    </cfRule>
  </conditionalFormatting>
  <conditionalFormatting sqref="C27">
    <cfRule type="cellIs" dxfId="1755" priority="105" stopIfTrue="1" operator="greaterThanOrEqual">
      <formula>0.8</formula>
    </cfRule>
    <cfRule type="cellIs" dxfId="1754" priority="106" stopIfTrue="1" operator="between">
      <formula>0.5</formula>
      <formula>0.799</formula>
    </cfRule>
    <cfRule type="cellIs" dxfId="1753" priority="107" stopIfTrue="1" operator="lessThan">
      <formula>0.5</formula>
    </cfRule>
  </conditionalFormatting>
  <conditionalFormatting sqref="G81">
    <cfRule type="cellIs" dxfId="1752" priority="98" stopIfTrue="1" operator="lessThan">
      <formula>0.5</formula>
    </cfRule>
    <cfRule type="cellIs" dxfId="1751" priority="99" stopIfTrue="1" operator="between">
      <formula>0.5</formula>
      <formula>0.75</formula>
    </cfRule>
    <cfRule type="cellIs" dxfId="1750" priority="100" stopIfTrue="1" operator="greaterThan">
      <formula>0.75</formula>
    </cfRule>
  </conditionalFormatting>
  <conditionalFormatting sqref="G96:G100">
    <cfRule type="cellIs" dxfId="1749" priority="42" stopIfTrue="1" operator="lessThan">
      <formula>0.5</formula>
    </cfRule>
    <cfRule type="cellIs" dxfId="1748" priority="43" stopIfTrue="1" operator="between">
      <formula>0.5</formula>
      <formula>0.75</formula>
    </cfRule>
    <cfRule type="cellIs" dxfId="1747" priority="44" stopIfTrue="1" operator="greaterThan">
      <formula>0.75</formula>
    </cfRule>
  </conditionalFormatting>
  <conditionalFormatting sqref="C90">
    <cfRule type="cellIs" dxfId="1746" priority="39" stopIfTrue="1" operator="greaterThanOrEqual">
      <formula>0.8</formula>
    </cfRule>
    <cfRule type="cellIs" dxfId="1745" priority="40" stopIfTrue="1" operator="between">
      <formula>0.5</formula>
      <formula>0.799</formula>
    </cfRule>
    <cfRule type="cellIs" dxfId="1744" priority="41" stopIfTrue="1" operator="lessThan">
      <formula>0.5</formula>
    </cfRule>
  </conditionalFormatting>
  <conditionalFormatting sqref="I5:I8">
    <cfRule type="containsText" dxfId="1743" priority="38" operator="containsText" text="System Flag">
      <formula>NOT(ISERROR(SEARCH("System Flag",I5)))</formula>
    </cfRule>
  </conditionalFormatting>
  <conditionalFormatting sqref="I9:I11">
    <cfRule type="cellIs" dxfId="1742" priority="22" stopIfTrue="1" operator="lessThan">
      <formula>0.5</formula>
    </cfRule>
    <cfRule type="cellIs" dxfId="1741" priority="23" stopIfTrue="1" operator="between">
      <formula>0.5</formula>
      <formula>0.75</formula>
    </cfRule>
    <cfRule type="cellIs" dxfId="1740" priority="24" stopIfTrue="1" operator="greaterThan">
      <formula>0.75</formula>
    </cfRule>
  </conditionalFormatting>
  <conditionalFormatting sqref="I9:I11">
    <cfRule type="containsText" dxfId="1739" priority="21" stopIfTrue="1" operator="containsText" text="RED FLAG">
      <formula>NOT(ISERROR(SEARCH("RED FLAG",I9)))</formula>
    </cfRule>
  </conditionalFormatting>
  <conditionalFormatting sqref="I81">
    <cfRule type="containsText" dxfId="1738" priority="19" operator="containsText" text="'">
      <formula>NOT(ISERROR(SEARCH("'",I81)))</formula>
    </cfRule>
    <cfRule type="containsText" dxfId="1737" priority="20" operator="containsText" text="Red Flag">
      <formula>NOT(ISERROR(SEARCH("Red Flag",I81)))</formula>
    </cfRule>
  </conditionalFormatting>
  <conditionalFormatting sqref="I87:I88">
    <cfRule type="containsText" dxfId="1736" priority="18" operator="containsText" text="System Flag">
      <formula>NOT(ISERROR(SEARCH("System Flag",I87)))</formula>
    </cfRule>
  </conditionalFormatting>
  <conditionalFormatting sqref="G103:G107">
    <cfRule type="cellIs" dxfId="1735" priority="15" stopIfTrue="1" operator="lessThan">
      <formula>0.5</formula>
    </cfRule>
    <cfRule type="cellIs" dxfId="1734" priority="16" stopIfTrue="1" operator="between">
      <formula>0.5</formula>
      <formula>0.75</formula>
    </cfRule>
    <cfRule type="cellIs" dxfId="1733" priority="17" stopIfTrue="1" operator="greaterThan">
      <formula>0.75</formula>
    </cfRule>
  </conditionalFormatting>
  <conditionalFormatting sqref="G85:G88 G78 G66 G47:G59 G29:G41 G15:G25 G5:G11 G101">
    <cfRule type="cellIs" dxfId="1732" priority="9" stopIfTrue="1" operator="lessThan">
      <formula>0.5</formula>
    </cfRule>
    <cfRule type="cellIs" dxfId="1731" priority="10" stopIfTrue="1" operator="between">
      <formula>0.5</formula>
      <formula>0.75</formula>
    </cfRule>
    <cfRule type="cellIs" dxfId="1730" priority="11" stopIfTrue="1" operator="greaterThan">
      <formula>0.75</formula>
    </cfRule>
  </conditionalFormatting>
  <conditionalFormatting sqref="G85:G88 G78 G66 G47:G59 G29:G41 G15:G25 G5:G11 G101">
    <cfRule type="containsText" dxfId="1729" priority="8" stopIfTrue="1" operator="containsText" text="RED FLAG">
      <formula>NOT(ISERROR(SEARCH("RED FLAG",G5)))</formula>
    </cfRule>
  </conditionalFormatting>
  <conditionalFormatting sqref="G109:G113">
    <cfRule type="cellIs" dxfId="1728" priority="1" stopIfTrue="1" operator="lessThan">
      <formula>0.5</formula>
    </cfRule>
    <cfRule type="cellIs" dxfId="1727" priority="2" stopIfTrue="1" operator="between">
      <formula>0.5</formula>
      <formula>0.75</formula>
    </cfRule>
    <cfRule type="cellIs" dxfId="1726" priority="3" stopIfTrue="1" operator="greaterThan">
      <formula>0.75</formula>
    </cfRule>
  </conditionalFormatting>
  <dataValidations count="6">
    <dataValidation type="list" allowBlank="1" showInputMessage="1" showErrorMessage="1" sqref="C85:C88 C78 C96:C101 C103:C107 C109:C113" xr:uid="{00000000-0002-0000-0700-000000000000}">
      <formula1>"Yes,No,NA"</formula1>
    </dataValidation>
    <dataValidation type="list" allowBlank="1" showInputMessage="1" showErrorMessage="1" sqref="C47:C59 C66 C92:C93 C29:C41 C5:C11 C15:C25" xr:uid="{00000000-0002-0000-0700-000001000000}">
      <formula1>"Yes,No"</formula1>
    </dataValidation>
    <dataValidation type="list" allowBlank="1" showInputMessage="1" showErrorMessage="1" sqref="C73 C81" xr:uid="{00000000-0002-0000-0700-000002000000}">
      <formula1>"1,2,3,4,NA"</formula1>
    </dataValidation>
    <dataValidation type="list" allowBlank="1" showInputMessage="1" showErrorMessage="1" sqref="C83" xr:uid="{00000000-0002-0000-0700-000003000000}">
      <formula1>"1,2,3,NA"</formula1>
    </dataValidation>
    <dataValidation type="list" allowBlank="1" showInputMessage="1" showErrorMessage="1" sqref="C60" xr:uid="{00000000-0002-0000-0700-000004000000}">
      <formula1>"1,2,3,4,5"</formula1>
    </dataValidation>
    <dataValidation type="list" allowBlank="1" showInputMessage="1" showErrorMessage="1" sqref="C69" xr:uid="{00000000-0002-0000-0700-000005000000}">
      <formula1>"1,2,3"</formula1>
    </dataValidation>
  </dataValidations>
  <pageMargins left="0.25" right="0.25" top="0.75000000000000011" bottom="0.75000000000000011" header="0.30000000000000004" footer="0.30000000000000004"/>
  <pageSetup paperSize="9" scale="93" fitToHeight="4" orientation="landscape" r:id="rId1"/>
  <headerFooter>
    <oddFooter>&amp;C&amp;A -&amp;P</oddFooter>
  </headerFooter>
  <rowBreaks count="4" manualBreakCount="4">
    <brk id="26" max="4" man="1"/>
    <brk id="50" max="4" man="1"/>
    <brk id="78" max="4" man="1"/>
    <brk id="101" max="4" man="1"/>
  </rowBreaks>
  <drawing r:id="rId2"/>
  <extLst>
    <ext xmlns:x14="http://schemas.microsoft.com/office/spreadsheetml/2009/9/main" uri="{78C0D931-6437-407d-A8EE-F0AAD7539E65}">
      <x14:conditionalFormattings>
        <x14:conditionalFormatting xmlns:xm="http://schemas.microsoft.com/office/excel/2006/main">
          <x14:cfRule type="containsText" priority="1324" stopIfTrue="1" operator="containsText" text="RED FLAG" id="{078CF11C-044E-46BA-9294-5FC275FE5637}">
            <xm:f>NOT(ISERROR(SEARCH("RED FLAG",'Processing 9'!#REF!)))</xm:f>
            <x14:dxf>
              <font>
                <color rgb="FF9C0006"/>
              </font>
              <fill>
                <patternFill>
                  <bgColor rgb="FFFFC7CE"/>
                </patternFill>
              </fill>
            </x14:dxf>
          </x14:cfRule>
          <xm:sqref>G13:G14 G27:G28</xm:sqref>
        </x14:conditionalFormatting>
        <x14:conditionalFormatting xmlns:xm="http://schemas.microsoft.com/office/excel/2006/main">
          <x14:cfRule type="containsText" priority="1435" stopIfTrue="1" operator="containsText" text="RED FLAG" id="{202386C8-F96F-4188-BE65-687B22E57D4B}">
            <xm:f>NOT(ISERROR(SEARCH("RED FLAG",'Processing 9'!#REF!)))</xm:f>
            <x14:dxf>
              <font>
                <color rgb="FF9C0006"/>
              </font>
              <fill>
                <patternFill>
                  <bgColor rgb="FFFFC7CE"/>
                </patternFill>
              </fill>
            </x14:dxf>
          </x14:cfRule>
          <xm:sqref>G42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FF0E117DAFE54CBE067C431C77F64B" ma:contentTypeVersion="15" ma:contentTypeDescription="Create a new document." ma:contentTypeScope="" ma:versionID="24d0ff1f8a8e8843379dcccc7ea2dac3">
  <xsd:schema xmlns:xsd="http://www.w3.org/2001/XMLSchema" xmlns:xs="http://www.w3.org/2001/XMLSchema" xmlns:p="http://schemas.microsoft.com/office/2006/metadata/properties" xmlns:ns1="http://schemas.microsoft.com/sharepoint/v3" xmlns:ns3="0c96800b-b425-4f1f-a293-d10a6021442d" xmlns:ns4="e3b77f1f-da53-454b-89e0-50f1aaf16bdf" targetNamespace="http://schemas.microsoft.com/office/2006/metadata/properties" ma:root="true" ma:fieldsID="18976ac157e2f3cb8551a545d8594060" ns1:_="" ns3:_="" ns4:_="">
    <xsd:import namespace="http://schemas.microsoft.com/sharepoint/v3"/>
    <xsd:import namespace="0c96800b-b425-4f1f-a293-d10a6021442d"/>
    <xsd:import namespace="e3b77f1f-da53-454b-89e0-50f1aaf16bdf"/>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96800b-b425-4f1f-a293-d10a602144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b77f1f-da53-454b-89e0-50f1aaf16bd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53653A3-9475-4CD1-951D-B30B41B6EFED}">
  <ds:schemaRefs>
    <ds:schemaRef ds:uri="http://schemas.microsoft.com/sharepoint/v3/contenttype/forms"/>
  </ds:schemaRefs>
</ds:datastoreItem>
</file>

<file path=customXml/itemProps2.xml><?xml version="1.0" encoding="utf-8"?>
<ds:datastoreItem xmlns:ds="http://schemas.openxmlformats.org/officeDocument/2006/customXml" ds:itemID="{7D5CEA49-511B-46E0-9DE7-A43D3A053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96800b-b425-4f1f-a293-d10a6021442d"/>
    <ds:schemaRef ds:uri="e3b77f1f-da53-454b-89e0-50f1aaf16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CAD07-A09A-4DC1-85FB-F3B1EFE5A48E}">
  <ds:schemaRefs>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schemas.microsoft.com/sharepoint/v3"/>
    <ds:schemaRef ds:uri="http://schemas.openxmlformats.org/package/2006/metadata/core-properties"/>
    <ds:schemaRef ds:uri="e3b77f1f-da53-454b-89e0-50f1aaf16bdf"/>
    <ds:schemaRef ds:uri="0c96800b-b425-4f1f-a293-d10a6021442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37</vt:i4>
      </vt:variant>
    </vt:vector>
  </HeadingPairs>
  <TitlesOfParts>
    <vt:vector size="62" baseType="lpstr">
      <vt:lpstr>Cover</vt:lpstr>
      <vt:lpstr>Language</vt:lpstr>
      <vt:lpstr>Registration</vt:lpstr>
      <vt:lpstr>Introduction</vt:lpstr>
      <vt:lpstr>Assessor Guide</vt:lpstr>
      <vt:lpstr>General 0</vt:lpstr>
      <vt:lpstr>Facility 1</vt:lpstr>
      <vt:lpstr>LIS 2</vt:lpstr>
      <vt:lpstr>Data Mgmt 3</vt:lpstr>
      <vt:lpstr>QA 4</vt:lpstr>
      <vt:lpstr>Media QC 5</vt:lpstr>
      <vt:lpstr>ID QC 6</vt:lpstr>
      <vt:lpstr>AST QC 7</vt:lpstr>
      <vt:lpstr>Specimen 8</vt:lpstr>
      <vt:lpstr>Processing 9</vt:lpstr>
      <vt:lpstr>Identification 10</vt:lpstr>
      <vt:lpstr>Basic AST 11</vt:lpstr>
      <vt:lpstr>AST Expert rules 12</vt:lpstr>
      <vt:lpstr>AST Policy 13</vt:lpstr>
      <vt:lpstr>Safety</vt:lpstr>
      <vt:lpstr>Summary</vt:lpstr>
      <vt:lpstr>Flags</vt:lpstr>
      <vt:lpstr>Conclusions</vt:lpstr>
      <vt:lpstr>Photos</vt:lpstr>
      <vt:lpstr>Export</vt:lpstr>
      <vt:lpstr>'Basic AST 11'!_Toc1732529</vt:lpstr>
      <vt:lpstr>'Basic AST 11'!_Toc1732530</vt:lpstr>
      <vt:lpstr>'Basic AST 11'!_Toc1732531</vt:lpstr>
      <vt:lpstr>'Basic AST 11'!_Toc1732532</vt:lpstr>
      <vt:lpstr>'Basic AST 11'!_Toc1732533</vt:lpstr>
      <vt:lpstr>'Basic AST 11'!_Toc1732534</vt:lpstr>
      <vt:lpstr>'AST Policy 13'!_Toc1732536</vt:lpstr>
      <vt:lpstr>'AST Expert rules 12'!_Toc1732539</vt:lpstr>
      <vt:lpstr>'AST Expert rules 12'!_Toc1732542</vt:lpstr>
      <vt:lpstr>'AST Expert rules 12'!_Toc1732544</vt:lpstr>
      <vt:lpstr>'Assessor Guide'!_Toc2177259</vt:lpstr>
      <vt:lpstr>'AST QC 7'!_Toc486852725</vt:lpstr>
      <vt:lpstr>'Processing 9'!_Toc486852730</vt:lpstr>
      <vt:lpstr>'Specimen 8'!_Toc486852730</vt:lpstr>
      <vt:lpstr>'Identification 10'!_Toc486852735</vt:lpstr>
      <vt:lpstr>'Identification 10'!_Toc486852736</vt:lpstr>
      <vt:lpstr>'Identification 10'!_Toc486852742</vt:lpstr>
      <vt:lpstr>langue</vt:lpstr>
      <vt:lpstr>'Assessor Guide'!Print_Area</vt:lpstr>
      <vt:lpstr>'AST Expert rules 12'!Print_Area</vt:lpstr>
      <vt:lpstr>'AST Policy 13'!Print_Area</vt:lpstr>
      <vt:lpstr>'AST QC 7'!Print_Area</vt:lpstr>
      <vt:lpstr>'Basic AST 11'!Print_Area</vt:lpstr>
      <vt:lpstr>'Data Mgmt 3'!Print_Area</vt:lpstr>
      <vt:lpstr>'Facility 1'!Print_Area</vt:lpstr>
      <vt:lpstr>Flags!Print_Area</vt:lpstr>
      <vt:lpstr>'General 0'!Print_Area</vt:lpstr>
      <vt:lpstr>'Identification 10'!Print_Area</vt:lpstr>
      <vt:lpstr>Introduction!Print_Area</vt:lpstr>
      <vt:lpstr>Language!Print_Area</vt:lpstr>
      <vt:lpstr>'LIS 2'!Print_Area</vt:lpstr>
      <vt:lpstr>'Media QC 5'!Print_Area</vt:lpstr>
      <vt:lpstr>'Processing 9'!Print_Area</vt:lpstr>
      <vt:lpstr>'QA 4'!Print_Area</vt:lpstr>
      <vt:lpstr>Safety!Print_Area</vt:lpstr>
      <vt:lpstr>'Specimen 8'!Print_Area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dc:creator>
  <cp:lastModifiedBy>Bollinger, Susan (CDC/DDID/NCEZID/DHQP)</cp:lastModifiedBy>
  <cp:lastPrinted>2020-10-07T18:56:54Z</cp:lastPrinted>
  <dcterms:created xsi:type="dcterms:W3CDTF">2018-12-14T09:33:58Z</dcterms:created>
  <dcterms:modified xsi:type="dcterms:W3CDTF">2020-11-12T17:16:44Z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0x01010053FF0E117DAFE54CBE067C431C77F64B</vt:lpwstr>
  </property>
  <property fmtid="{D5CDD505-2E9C-101B-9397-08002B2CF9AE}" pid="3" name="MSIP_Label_8af03ff0-41c5-4c41-b55e-fabb8fae94be_Enabled">
    <vt:lpwstr>true</vt:lpwstr>
  </property>
  <property fmtid="{D5CDD505-2E9C-101B-9397-08002B2CF9AE}" pid="4" name="MSIP_Label_8af03ff0-41c5-4c41-b55e-fabb8fae94be_SetDate">
    <vt:lpwstr>2020-11-12T17:16:01Z</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iteId">
    <vt:lpwstr>9ce70869-60db-44fd-abe8-d2767077fc8f</vt:lpwstr>
  </property>
  <property fmtid="{D5CDD505-2E9C-101B-9397-08002B2CF9AE}" pid="8" name="MSIP_Label_8af03ff0-41c5-4c41-b55e-fabb8fae94be_ActionId">
    <vt:lpwstr>cf4e5c6f-7bc8-49fe-8395-1abccbefb4da</vt:lpwstr>
  </property>
  <property fmtid="{D5CDD505-2E9C-101B-9397-08002B2CF9AE}" pid="9" name="MSIP_Label_8af03ff0-41c5-4c41-b55e-fabb8fae94be_ContentBits">
    <vt:lpwstr>0</vt:lpwstr>
  </property>
</Properties>
</file>